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rah.ithiel\Desktop\Desktop\DCFMU\eGDDS\"/>
    </mc:Choice>
  </mc:AlternateContent>
  <bookViews>
    <workbookView xWindow="0" yWindow="0" windowWidth="15360" windowHeight="6555" activeTab="2"/>
  </bookViews>
  <sheets>
    <sheet name="Central_Government_Debt_Q" sheetId="1" r:id="rId1"/>
    <sheet name="Central_Government_Debt_M" sheetId="5" r:id="rId2"/>
    <sheet name="General_Government_Ext_Debt_M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Central_Government_Debt_Q!$A$4:$C$12</definedName>
  </definedNames>
  <calcPr calcId="152511"/>
</workbook>
</file>

<file path=xl/calcChain.xml><?xml version="1.0" encoding="utf-8"?>
<calcChain xmlns="http://schemas.openxmlformats.org/spreadsheetml/2006/main">
  <c r="DS21" i="4" l="1"/>
  <c r="DS23" i="4" l="1"/>
  <c r="AO60" i="1" l="1"/>
  <c r="AO61" i="1"/>
  <c r="AO62" i="1"/>
  <c r="AO63" i="1"/>
  <c r="AO64" i="1"/>
  <c r="AO65" i="1"/>
  <c r="AO66" i="1"/>
  <c r="AO67" i="1"/>
  <c r="AO68" i="1"/>
  <c r="AO69" i="1"/>
  <c r="AO70" i="1"/>
  <c r="AO39" i="1"/>
  <c r="AO40" i="1"/>
  <c r="AO41" i="1"/>
  <c r="AO42" i="1"/>
  <c r="AO43" i="1"/>
  <c r="AO44" i="1"/>
  <c r="AO45" i="1"/>
  <c r="AO46" i="1"/>
  <c r="AO47" i="1"/>
  <c r="AO48" i="1"/>
  <c r="AO38" i="1"/>
  <c r="AN35" i="1"/>
  <c r="AO34" i="1"/>
  <c r="AO32" i="1"/>
  <c r="AO31" i="1"/>
  <c r="AO30" i="1"/>
  <c r="AO29" i="1"/>
  <c r="AO28" i="1"/>
  <c r="AO17" i="1"/>
  <c r="AO18" i="1"/>
  <c r="AO19" i="1"/>
  <c r="AO20" i="1"/>
  <c r="AO21" i="1"/>
  <c r="AO22" i="1"/>
  <c r="AO23" i="1"/>
  <c r="AO24" i="1"/>
  <c r="AO25" i="1"/>
  <c r="AO26" i="1"/>
  <c r="AO16" i="1"/>
  <c r="AO57" i="1"/>
  <c r="AO27" i="1"/>
  <c r="DP21" i="4"/>
  <c r="DQ21" i="4"/>
  <c r="DR21" i="4"/>
  <c r="DP23" i="4"/>
  <c r="DQ23" i="4"/>
  <c r="DR23" i="4"/>
  <c r="DP19" i="4"/>
  <c r="DQ19" i="4"/>
  <c r="DR19" i="4"/>
  <c r="DS19" i="4"/>
  <c r="DP17" i="4"/>
  <c r="DQ17" i="4"/>
  <c r="DR17" i="4"/>
  <c r="DS17" i="4"/>
  <c r="DP15" i="4"/>
  <c r="DQ15" i="4"/>
  <c r="DR15" i="4"/>
  <c r="DS15" i="4"/>
  <c r="DS13" i="4"/>
  <c r="DQ13" i="4"/>
  <c r="DR13" i="4"/>
  <c r="DP13" i="4"/>
  <c r="CK38" i="5"/>
  <c r="CK36" i="5" s="1"/>
  <c r="CJ38" i="5"/>
  <c r="CI38" i="5"/>
  <c r="CI36" i="5" s="1"/>
  <c r="CH38" i="5"/>
  <c r="CH36" i="5" s="1"/>
  <c r="CK55" i="5"/>
  <c r="CK51" i="5" s="1"/>
  <c r="CK58" i="5"/>
  <c r="CJ58" i="5"/>
  <c r="CK52" i="5"/>
  <c r="CK27" i="5"/>
  <c r="CJ55" i="5"/>
  <c r="CJ52" i="5"/>
  <c r="CJ36" i="5"/>
  <c r="CJ27" i="5"/>
  <c r="CI58" i="5"/>
  <c r="CI55" i="5"/>
  <c r="CI52" i="5"/>
  <c r="CI27" i="5"/>
  <c r="CH58" i="5"/>
  <c r="CH55" i="5"/>
  <c r="CH52" i="5"/>
  <c r="CH27" i="5"/>
  <c r="CH15" i="5"/>
  <c r="CH14" i="5" s="1"/>
  <c r="CI15" i="5"/>
  <c r="CJ15" i="5"/>
  <c r="CJ14" i="5" s="1"/>
  <c r="CK15" i="5"/>
  <c r="CK14" i="5" s="1"/>
  <c r="AO54" i="1" l="1"/>
  <c r="AO51" i="1"/>
  <c r="AO50" i="1" s="1"/>
  <c r="AO37" i="1"/>
  <c r="AO35" i="1" s="1"/>
  <c r="AO15" i="1"/>
  <c r="AO14" i="1"/>
  <c r="AO13" i="1" s="1"/>
  <c r="CK13" i="5"/>
  <c r="CJ51" i="5"/>
  <c r="CJ13" i="5"/>
  <c r="CI51" i="5"/>
  <c r="CI14" i="5"/>
  <c r="CI13" i="5" s="1"/>
  <c r="CH51" i="5"/>
  <c r="CH13" i="5"/>
  <c r="DN23" i="4" l="1"/>
  <c r="DN21" i="4"/>
  <c r="DO21" i="4"/>
  <c r="DO23" i="4" s="1"/>
  <c r="DN19" i="4"/>
  <c r="DO19" i="4"/>
  <c r="DN17" i="4"/>
  <c r="DO17" i="4"/>
  <c r="DN15" i="4"/>
  <c r="DO15" i="4"/>
  <c r="DN13" i="4"/>
  <c r="DO13" i="4"/>
  <c r="AN51" i="1"/>
  <c r="AN39" i="1"/>
  <c r="AN40" i="1"/>
  <c r="AN41" i="1"/>
  <c r="AN42" i="1"/>
  <c r="AN43" i="1"/>
  <c r="AN44" i="1"/>
  <c r="AN45" i="1"/>
  <c r="AN46" i="1"/>
  <c r="AN47" i="1"/>
  <c r="AN48" i="1"/>
  <c r="AN38" i="1"/>
  <c r="AN34" i="1"/>
  <c r="AN32" i="1"/>
  <c r="AN31" i="1"/>
  <c r="AN30" i="1"/>
  <c r="AN29" i="1"/>
  <c r="AN28" i="1"/>
  <c r="AN27" i="1" s="1"/>
  <c r="AN17" i="1"/>
  <c r="AN15" i="1" s="1"/>
  <c r="AN18" i="1"/>
  <c r="AN19" i="1"/>
  <c r="AN20" i="1"/>
  <c r="AN21" i="1"/>
  <c r="AN22" i="1"/>
  <c r="AN23" i="1"/>
  <c r="AN24" i="1"/>
  <c r="AN25" i="1"/>
  <c r="AN26" i="1"/>
  <c r="AN16" i="1"/>
  <c r="CF58" i="5"/>
  <c r="CG58" i="5"/>
  <c r="CF55" i="5"/>
  <c r="CG55" i="5"/>
  <c r="CF52" i="5"/>
  <c r="CG52" i="5"/>
  <c r="CF38" i="5"/>
  <c r="CF36" i="5" s="1"/>
  <c r="CG38" i="5"/>
  <c r="CG36" i="5" s="1"/>
  <c r="CF27" i="5"/>
  <c r="CG27" i="5"/>
  <c r="CG15" i="5"/>
  <c r="CF15" i="5"/>
  <c r="CF14" i="5" s="1"/>
  <c r="AN57" i="1"/>
  <c r="AN54" i="1"/>
  <c r="AN37" i="1"/>
  <c r="AN50" i="1" l="1"/>
  <c r="AN14" i="1"/>
  <c r="CG14" i="5"/>
  <c r="CF51" i="5"/>
  <c r="CG51" i="5"/>
  <c r="CF13" i="5"/>
  <c r="CG13" i="5"/>
  <c r="AN13" i="1"/>
  <c r="AM57" i="1"/>
  <c r="AM54" i="1"/>
  <c r="AL54" i="1"/>
  <c r="AL51" i="1"/>
  <c r="AL38" i="1"/>
  <c r="AM48" i="1"/>
  <c r="AL48" i="1"/>
  <c r="AM47" i="1"/>
  <c r="AL47" i="1"/>
  <c r="AM46" i="1"/>
  <c r="AL46" i="1"/>
  <c r="AM45" i="1"/>
  <c r="AL45" i="1"/>
  <c r="AM44" i="1"/>
  <c r="AL44" i="1"/>
  <c r="AM43" i="1"/>
  <c r="AL43" i="1"/>
  <c r="AM42" i="1"/>
  <c r="AL42" i="1"/>
  <c r="AM41" i="1"/>
  <c r="AL41" i="1"/>
  <c r="AM40" i="1"/>
  <c r="AL40" i="1"/>
  <c r="AM39" i="1"/>
  <c r="AM37" i="1" s="1"/>
  <c r="AM35" i="1" s="1"/>
  <c r="AL39" i="1"/>
  <c r="AM38" i="1"/>
  <c r="AM32" i="1"/>
  <c r="AM27" i="1" s="1"/>
  <c r="AL32" i="1"/>
  <c r="AM31" i="1"/>
  <c r="AL31" i="1"/>
  <c r="AM30" i="1"/>
  <c r="AL30" i="1"/>
  <c r="AM29" i="1"/>
  <c r="AL29" i="1"/>
  <c r="AM28" i="1"/>
  <c r="AL28" i="1"/>
  <c r="AM26" i="1"/>
  <c r="AL26" i="1"/>
  <c r="AM25" i="1"/>
  <c r="AL25" i="1"/>
  <c r="AM24" i="1"/>
  <c r="AL24" i="1"/>
  <c r="AM23" i="1"/>
  <c r="AL23" i="1"/>
  <c r="AM22" i="1"/>
  <c r="AL22" i="1"/>
  <c r="AM21" i="1"/>
  <c r="AL21" i="1"/>
  <c r="AM20" i="1"/>
  <c r="AL20" i="1"/>
  <c r="AM19" i="1"/>
  <c r="AL19" i="1"/>
  <c r="AM18" i="1"/>
  <c r="AL18" i="1"/>
  <c r="AM17" i="1"/>
  <c r="AL17" i="1"/>
  <c r="AM16" i="1"/>
  <c r="AL16" i="1"/>
  <c r="AL15" i="1" s="1"/>
  <c r="AL34" i="1"/>
  <c r="AM34" i="1"/>
  <c r="AL27" i="1"/>
  <c r="DM23" i="4"/>
  <c r="DM21" i="4"/>
  <c r="DM19" i="4"/>
  <c r="DM17" i="4"/>
  <c r="DH21" i="4"/>
  <c r="DH23" i="4" s="1"/>
  <c r="DI21" i="4"/>
  <c r="DI23" i="4" s="1"/>
  <c r="DJ21" i="4"/>
  <c r="DJ23" i="4" s="1"/>
  <c r="DK21" i="4"/>
  <c r="DL21" i="4"/>
  <c r="DK23" i="4"/>
  <c r="DL23" i="4"/>
  <c r="DH17" i="4"/>
  <c r="DI17" i="4"/>
  <c r="DJ17" i="4"/>
  <c r="DK17" i="4"/>
  <c r="DL17" i="4"/>
  <c r="DH19" i="4"/>
  <c r="DI19" i="4"/>
  <c r="DJ19" i="4"/>
  <c r="DK19" i="4"/>
  <c r="DL19" i="4"/>
  <c r="DH15" i="4"/>
  <c r="DI15" i="4"/>
  <c r="DJ15" i="4"/>
  <c r="DK15" i="4"/>
  <c r="DL15" i="4"/>
  <c r="DG23" i="4"/>
  <c r="DG19" i="4"/>
  <c r="DG21" i="4"/>
  <c r="DG17" i="4"/>
  <c r="DG15" i="4"/>
  <c r="DH13" i="4"/>
  <c r="DI13" i="4"/>
  <c r="DJ13" i="4"/>
  <c r="DK13" i="4"/>
  <c r="DL13" i="4"/>
  <c r="DG13" i="4"/>
  <c r="AM51" i="1" l="1"/>
  <c r="AM50" i="1" s="1"/>
  <c r="AL57" i="1"/>
  <c r="AL50" i="1"/>
  <c r="AL37" i="1"/>
  <c r="AL35" i="1" s="1"/>
  <c r="AM15" i="1"/>
  <c r="AM14" i="1" s="1"/>
  <c r="AM13" i="1" s="1"/>
  <c r="AL14" i="1"/>
  <c r="AL13" i="1" s="1"/>
  <c r="BY38" i="5" l="1"/>
  <c r="BY15" i="5"/>
  <c r="BY27" i="5"/>
  <c r="BY14" i="5" l="1"/>
  <c r="CE13" i="5" l="1"/>
  <c r="CE58" i="5"/>
  <c r="CE55" i="5"/>
  <c r="CE52" i="5"/>
  <c r="CE38" i="5"/>
  <c r="CE36" i="5" s="1"/>
  <c r="DM13" i="4" s="1"/>
  <c r="DM15" i="4" s="1"/>
  <c r="CE27" i="5"/>
  <c r="CE15" i="5"/>
  <c r="CE14" i="5" s="1"/>
  <c r="CD38" i="5"/>
  <c r="CD36" i="5" s="1"/>
  <c r="CD15" i="5"/>
  <c r="CD27" i="5"/>
  <c r="CE51" i="5" l="1"/>
  <c r="CD14" i="5"/>
  <c r="CD13" i="5" s="1"/>
  <c r="CA14" i="5"/>
  <c r="CA15" i="5"/>
  <c r="CD51" i="5" l="1"/>
  <c r="CD52" i="5"/>
  <c r="CD55" i="5"/>
  <c r="CD58" i="5"/>
  <c r="AH15" i="5" l="1"/>
  <c r="CW21" i="4" l="1"/>
  <c r="CC27" i="5" l="1"/>
  <c r="CC38" i="5"/>
  <c r="CC58" i="5" l="1"/>
  <c r="CB58" i="5"/>
  <c r="CC55" i="5"/>
  <c r="CC52" i="5"/>
  <c r="CC36" i="5"/>
  <c r="CB38" i="5"/>
  <c r="CB36" i="5"/>
  <c r="CB27" i="5"/>
  <c r="CC15" i="5"/>
  <c r="CC14" i="5" s="1"/>
  <c r="CB15" i="5"/>
  <c r="CC51" i="5" l="1"/>
  <c r="CC13" i="5"/>
  <c r="BV13" i="5" l="1"/>
  <c r="CB14" i="5"/>
  <c r="CA58" i="5"/>
  <c r="CB55" i="5"/>
  <c r="CA55" i="5"/>
  <c r="CB52" i="5"/>
  <c r="BZ36" i="5"/>
  <c r="CA52" i="5"/>
  <c r="BZ51" i="5"/>
  <c r="CA38" i="5"/>
  <c r="CA36" i="5" s="1"/>
  <c r="BZ38" i="5"/>
  <c r="CA27" i="5"/>
  <c r="BZ52" i="5"/>
  <c r="BY52" i="5"/>
  <c r="BZ58" i="5"/>
  <c r="BZ55" i="5"/>
  <c r="BY55" i="5"/>
  <c r="BZ27" i="5"/>
  <c r="BZ15" i="5"/>
  <c r="BY36" i="5"/>
  <c r="BX36" i="5"/>
  <c r="BX13" i="5" s="1"/>
  <c r="BX14" i="5"/>
  <c r="BX15" i="5"/>
  <c r="BX27" i="5"/>
  <c r="BY58" i="5"/>
  <c r="BX52" i="5"/>
  <c r="BX55" i="5"/>
  <c r="BX51" i="5" s="1"/>
  <c r="BY51" i="5" l="1"/>
  <c r="CA13" i="5"/>
  <c r="CB51" i="5"/>
  <c r="CB13" i="5"/>
  <c r="CA51" i="5"/>
  <c r="BZ14" i="5"/>
  <c r="BZ13" i="5" s="1"/>
  <c r="BY13" i="5"/>
  <c r="BX38" i="5" l="1"/>
  <c r="AI16" i="1" l="1"/>
  <c r="AJ16" i="1"/>
  <c r="AK16" i="1"/>
  <c r="AI17" i="1"/>
  <c r="AJ17" i="1"/>
  <c r="AK17" i="1"/>
  <c r="AI18" i="1"/>
  <c r="AJ18" i="1"/>
  <c r="AK18" i="1"/>
  <c r="AI19" i="1"/>
  <c r="AJ19" i="1"/>
  <c r="AK19" i="1"/>
  <c r="AI20" i="1"/>
  <c r="AJ20" i="1"/>
  <c r="AK20" i="1"/>
  <c r="AI21" i="1"/>
  <c r="AJ21" i="1"/>
  <c r="AK21" i="1"/>
  <c r="AI22" i="1"/>
  <c r="AJ22" i="1"/>
  <c r="AK22" i="1"/>
  <c r="AI23" i="1"/>
  <c r="AJ23" i="1"/>
  <c r="AK23" i="1"/>
  <c r="AI24" i="1"/>
  <c r="AJ24" i="1"/>
  <c r="AK24" i="1"/>
  <c r="AI25" i="1"/>
  <c r="AJ25" i="1"/>
  <c r="AK25" i="1"/>
  <c r="AI26" i="1"/>
  <c r="AJ26" i="1"/>
  <c r="AK26" i="1"/>
  <c r="AK34" i="1"/>
  <c r="AK32" i="1"/>
  <c r="AK31" i="1"/>
  <c r="AK30" i="1"/>
  <c r="AK29" i="1"/>
  <c r="AK28" i="1"/>
  <c r="AK27" i="1" s="1"/>
  <c r="DF23" i="4"/>
  <c r="DF19" i="4"/>
  <c r="DF15" i="4"/>
  <c r="BX58" i="5"/>
  <c r="AK37" i="1"/>
  <c r="AK35" i="1" s="1"/>
  <c r="AK57" i="1" l="1"/>
  <c r="AK51" i="1"/>
  <c r="AK54" i="1"/>
  <c r="AK50" i="1" s="1"/>
  <c r="AK15" i="1"/>
  <c r="AK14" i="1" s="1"/>
  <c r="AK13" i="1" s="1"/>
  <c r="DE21" i="4" l="1"/>
  <c r="DE23" i="4" s="1"/>
  <c r="DE17" i="4"/>
  <c r="DE19" i="4" s="1"/>
  <c r="DE13" i="4"/>
  <c r="DE15" i="4" s="1"/>
  <c r="AJ39" i="1" l="1"/>
  <c r="AJ40" i="1"/>
  <c r="AJ41" i="1"/>
  <c r="AJ42" i="1"/>
  <c r="AJ43" i="1"/>
  <c r="AJ44" i="1"/>
  <c r="AJ45" i="1"/>
  <c r="AJ46" i="1"/>
  <c r="AJ47" i="1"/>
  <c r="AJ48" i="1"/>
  <c r="AJ38" i="1"/>
  <c r="AJ60" i="1"/>
  <c r="AJ61" i="1"/>
  <c r="AJ62" i="1"/>
  <c r="AJ63" i="1"/>
  <c r="AJ64" i="1"/>
  <c r="AJ65" i="1"/>
  <c r="AJ66" i="1"/>
  <c r="AJ67" i="1"/>
  <c r="AJ68" i="1"/>
  <c r="AJ69" i="1"/>
  <c r="AJ70" i="1"/>
  <c r="AJ34" i="1"/>
  <c r="AJ32" i="1"/>
  <c r="AJ31" i="1"/>
  <c r="AJ30" i="1"/>
  <c r="AJ29" i="1"/>
  <c r="AJ28" i="1"/>
  <c r="AJ27" i="1" s="1"/>
  <c r="AJ37" i="1" l="1"/>
  <c r="AJ35" i="1" s="1"/>
  <c r="AJ57" i="1"/>
  <c r="AJ54" i="1"/>
  <c r="AJ51" i="1"/>
  <c r="AJ50" i="1" s="1"/>
  <c r="AJ15" i="1"/>
  <c r="AJ14" i="1" s="1"/>
  <c r="AJ13" i="1" l="1"/>
  <c r="BW52" i="5" l="1"/>
  <c r="BW55" i="5"/>
  <c r="BW58" i="5"/>
  <c r="BW38" i="5"/>
  <c r="BW36" i="5" s="1"/>
  <c r="BW27" i="5"/>
  <c r="BV15" i="5"/>
  <c r="BW15" i="5"/>
  <c r="BW14" i="5"/>
  <c r="BW51" i="5" l="1"/>
  <c r="BW13" i="5"/>
  <c r="AI48" i="1"/>
  <c r="AH37" i="1"/>
  <c r="AG37" i="1"/>
  <c r="AI39" i="1"/>
  <c r="AI40" i="1"/>
  <c r="AI41" i="1"/>
  <c r="AI42" i="1"/>
  <c r="AI43" i="1"/>
  <c r="AI44" i="1"/>
  <c r="AI45" i="1"/>
  <c r="AI46" i="1"/>
  <c r="AI47" i="1"/>
  <c r="AI38" i="1"/>
  <c r="AI29" i="1"/>
  <c r="AI30" i="1"/>
  <c r="AI31" i="1"/>
  <c r="AI32" i="1"/>
  <c r="AI28" i="1"/>
  <c r="CZ21" i="4"/>
  <c r="CZ23" i="4" s="1"/>
  <c r="DA21" i="4"/>
  <c r="DA23" i="4" s="1"/>
  <c r="DB21" i="4"/>
  <c r="DB23" i="4" s="1"/>
  <c r="DC21" i="4"/>
  <c r="DC23" i="4" s="1"/>
  <c r="DD21" i="4"/>
  <c r="DD23" i="4" s="1"/>
  <c r="CZ19" i="4"/>
  <c r="CZ17" i="4"/>
  <c r="DA17" i="4"/>
  <c r="DA19" i="4" s="1"/>
  <c r="DB17" i="4"/>
  <c r="DB19" i="4" s="1"/>
  <c r="DC17" i="4"/>
  <c r="DC19" i="4" s="1"/>
  <c r="DD17" i="4"/>
  <c r="DD19" i="4" s="1"/>
  <c r="CZ15" i="4"/>
  <c r="DA15" i="4"/>
  <c r="DB15" i="4"/>
  <c r="DC15" i="4"/>
  <c r="DD15" i="4"/>
  <c r="CZ13" i="4"/>
  <c r="DA13" i="4"/>
  <c r="DB13" i="4"/>
  <c r="DC13" i="4"/>
  <c r="DD13" i="4"/>
  <c r="AI51" i="1" l="1"/>
  <c r="AI57" i="1"/>
  <c r="AI37" i="1"/>
  <c r="AI27" i="1"/>
  <c r="AI15" i="1"/>
  <c r="AI54" i="1"/>
  <c r="AI50" i="1" s="1"/>
  <c r="AI35" i="1"/>
  <c r="AI14" i="1" l="1"/>
  <c r="AI13" i="1" s="1"/>
  <c r="BV58" i="5"/>
  <c r="BV55" i="5"/>
  <c r="BV52" i="5"/>
  <c r="BV51" i="5" s="1"/>
  <c r="BV38" i="5"/>
  <c r="BV36" i="5" s="1"/>
  <c r="BV27" i="5"/>
  <c r="BV14" i="5"/>
  <c r="BU58" i="5"/>
  <c r="BU55" i="5"/>
  <c r="BU52" i="5"/>
  <c r="BU51" i="5" s="1"/>
  <c r="BU38" i="5"/>
  <c r="BU36" i="5" s="1"/>
  <c r="BU27" i="5"/>
  <c r="BU15" i="5"/>
  <c r="BU14" i="5" s="1"/>
  <c r="BT58" i="5"/>
  <c r="BT55" i="5"/>
  <c r="BT52" i="5"/>
  <c r="BT38" i="5"/>
  <c r="BT36" i="5"/>
  <c r="BT27" i="5"/>
  <c r="BT15" i="5"/>
  <c r="BS58" i="5"/>
  <c r="BS55" i="5"/>
  <c r="BS52" i="5"/>
  <c r="BS38" i="5"/>
  <c r="BS36" i="5" s="1"/>
  <c r="BS27" i="5"/>
  <c r="BS15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F38" i="5"/>
  <c r="AG38" i="5"/>
  <c r="AH38" i="5"/>
  <c r="AI38" i="5"/>
  <c r="AJ38" i="5"/>
  <c r="AK38" i="5"/>
  <c r="AL38" i="5"/>
  <c r="AM38" i="5"/>
  <c r="AN38" i="5"/>
  <c r="AO38" i="5"/>
  <c r="AP38" i="5"/>
  <c r="AQ38" i="5"/>
  <c r="AR38" i="5"/>
  <c r="AS38" i="5"/>
  <c r="AT38" i="5"/>
  <c r="AU38" i="5"/>
  <c r="AV38" i="5"/>
  <c r="AW38" i="5"/>
  <c r="AX38" i="5"/>
  <c r="AY38" i="5"/>
  <c r="AZ38" i="5"/>
  <c r="BA38" i="5"/>
  <c r="BB38" i="5"/>
  <c r="BC38" i="5"/>
  <c r="BD38" i="5"/>
  <c r="BE38" i="5"/>
  <c r="BF38" i="5"/>
  <c r="BG38" i="5"/>
  <c r="BH38" i="5"/>
  <c r="BI38" i="5"/>
  <c r="BJ38" i="5"/>
  <c r="BK38" i="5"/>
  <c r="BL38" i="5"/>
  <c r="BM38" i="5"/>
  <c r="BN38" i="5"/>
  <c r="BO38" i="5"/>
  <c r="BP38" i="5"/>
  <c r="BQ38" i="5"/>
  <c r="BR38" i="5"/>
  <c r="Q38" i="5"/>
  <c r="Q36" i="5" s="1"/>
  <c r="BR58" i="5"/>
  <c r="BR55" i="5"/>
  <c r="BR52" i="5"/>
  <c r="BR36" i="5"/>
  <c r="BR27" i="5"/>
  <c r="BR15" i="5"/>
  <c r="CY21" i="4"/>
  <c r="CY23" i="4" s="1"/>
  <c r="CY17" i="4"/>
  <c r="CY19" i="4" s="1"/>
  <c r="BQ58" i="5"/>
  <c r="BQ55" i="5"/>
  <c r="BQ52" i="5"/>
  <c r="BQ51" i="5" s="1"/>
  <c r="BQ36" i="5"/>
  <c r="CY13" i="4" s="1"/>
  <c r="CY15" i="4" s="1"/>
  <c r="BQ49" i="5"/>
  <c r="BQ27" i="5"/>
  <c r="BQ15" i="5"/>
  <c r="BQ14" i="5" s="1"/>
  <c r="BU13" i="5" l="1"/>
  <c r="BT51" i="5"/>
  <c r="BT14" i="5"/>
  <c r="BT13" i="5" s="1"/>
  <c r="BS14" i="5"/>
  <c r="BS51" i="5"/>
  <c r="BS13" i="5"/>
  <c r="BR51" i="5"/>
  <c r="BR14" i="5"/>
  <c r="BR13" i="5" s="1"/>
  <c r="BQ13" i="5"/>
  <c r="CX14" i="4"/>
  <c r="CX21" i="4"/>
  <c r="CX23" i="4" s="1"/>
  <c r="CX17" i="4"/>
  <c r="CX19" i="4" s="1"/>
  <c r="BP58" i="5"/>
  <c r="BP55" i="5"/>
  <c r="BP52" i="5"/>
  <c r="BP51" i="5" s="1"/>
  <c r="BP36" i="5"/>
  <c r="CX13" i="4" s="1"/>
  <c r="BP27" i="5"/>
  <c r="BP15" i="5"/>
  <c r="BP14" i="5" s="1"/>
  <c r="AH35" i="1"/>
  <c r="AH15" i="1"/>
  <c r="CX15" i="4" l="1"/>
  <c r="BP13" i="5"/>
  <c r="AH57" i="1"/>
  <c r="AH54" i="1"/>
  <c r="AH51" i="1"/>
  <c r="AH50" i="1" s="1"/>
  <c r="AH27" i="1"/>
  <c r="CW19" i="4"/>
  <c r="CW23" i="4"/>
  <c r="CW15" i="4"/>
  <c r="AH14" i="1" l="1"/>
  <c r="AH13" i="1" s="1"/>
  <c r="AZ51" i="5" l="1"/>
  <c r="BA51" i="5"/>
  <c r="BO58" i="5"/>
  <c r="BO55" i="5"/>
  <c r="BO52" i="5"/>
  <c r="BO51" i="5" s="1"/>
  <c r="BO36" i="5"/>
  <c r="BO27" i="5"/>
  <c r="BO15" i="5"/>
  <c r="BO14" i="5" l="1"/>
  <c r="BO13" i="5" s="1"/>
  <c r="CV23" i="4" l="1"/>
  <c r="CV19" i="4"/>
  <c r="CV15" i="4"/>
  <c r="BN58" i="5" l="1"/>
  <c r="BN55" i="5"/>
  <c r="BN52" i="5" l="1"/>
  <c r="BN51" i="5" s="1"/>
  <c r="BN36" i="5"/>
  <c r="BN27" i="5" l="1"/>
  <c r="BN15" i="5"/>
  <c r="BN14" i="5" l="1"/>
  <c r="BN13" i="5"/>
  <c r="CU15" i="4"/>
  <c r="CU19" i="4"/>
  <c r="CU23" i="4"/>
  <c r="BM58" i="5"/>
  <c r="BM55" i="5"/>
  <c r="BM52" i="5"/>
  <c r="BM36" i="5"/>
  <c r="BM27" i="5"/>
  <c r="BM51" i="5" l="1"/>
  <c r="BM15" i="5" l="1"/>
  <c r="BM14" i="5" l="1"/>
  <c r="BM13" i="5" s="1"/>
  <c r="CT23" i="4"/>
  <c r="CT19" i="4"/>
  <c r="CT15" i="4"/>
  <c r="AG57" i="1"/>
  <c r="AG54" i="1"/>
  <c r="AG51" i="1"/>
  <c r="AG35" i="1"/>
  <c r="AG27" i="1"/>
  <c r="AG15" i="1"/>
  <c r="AG14" i="1" s="1"/>
  <c r="AG13" i="1" s="1"/>
  <c r="BL53" i="5"/>
  <c r="BL27" i="5"/>
  <c r="AG50" i="1" l="1"/>
  <c r="BL58" i="5" l="1"/>
  <c r="BL55" i="5"/>
  <c r="BL52" i="5"/>
  <c r="BL51" i="5" s="1"/>
  <c r="BL36" i="5"/>
  <c r="BL15" i="5"/>
  <c r="BL14" i="5" s="1"/>
  <c r="BL13" i="5" l="1"/>
  <c r="CO23" i="4"/>
  <c r="CN23" i="4"/>
  <c r="CP23" i="4"/>
  <c r="CQ23" i="4"/>
  <c r="CR23" i="4"/>
  <c r="CR19" i="4"/>
  <c r="CQ19" i="4"/>
  <c r="CP19" i="4"/>
  <c r="CO19" i="4"/>
  <c r="CS23" i="4"/>
  <c r="CS19" i="4"/>
  <c r="CR15" i="4" l="1"/>
  <c r="CS15" i="4"/>
  <c r="BK58" i="5" l="1"/>
  <c r="BK55" i="5"/>
  <c r="BK52" i="5"/>
  <c r="BK36" i="5"/>
  <c r="BK27" i="5"/>
  <c r="BK14" i="5" s="1"/>
  <c r="BK15" i="5"/>
  <c r="BJ59" i="5"/>
  <c r="BJ58" i="5" s="1"/>
  <c r="BJ55" i="5"/>
  <c r="BJ52" i="5"/>
  <c r="BK51" i="5" l="1"/>
  <c r="BJ51" i="5"/>
  <c r="BK13" i="5"/>
  <c r="BJ36" i="5"/>
  <c r="BJ15" i="5"/>
  <c r="BJ27" i="5"/>
  <c r="BJ14" i="5" l="1"/>
  <c r="BJ13" i="5" s="1"/>
  <c r="BC27" i="5" l="1"/>
  <c r="BD27" i="5"/>
  <c r="BE27" i="5"/>
  <c r="BF27" i="5"/>
  <c r="BG27" i="5"/>
  <c r="BH27" i="5"/>
  <c r="BI27" i="5"/>
  <c r="BB27" i="5"/>
  <c r="CK23" i="4" l="1"/>
  <c r="CL23" i="4"/>
  <c r="CM23" i="4"/>
  <c r="CK19" i="4"/>
  <c r="CL19" i="4"/>
  <c r="CM19" i="4"/>
  <c r="CN19" i="4"/>
  <c r="CK15" i="4"/>
  <c r="CL15" i="4"/>
  <c r="CM15" i="4"/>
  <c r="CN15" i="4"/>
  <c r="CO15" i="4"/>
  <c r="CP15" i="4"/>
  <c r="CQ15" i="4"/>
  <c r="BC58" i="5"/>
  <c r="BD58" i="5"/>
  <c r="BE58" i="5"/>
  <c r="BF58" i="5"/>
  <c r="BG58" i="5"/>
  <c r="BH58" i="5"/>
  <c r="BI58" i="5"/>
  <c r="BC55" i="5"/>
  <c r="BD55" i="5"/>
  <c r="BE55" i="5"/>
  <c r="BF55" i="5"/>
  <c r="BG55" i="5"/>
  <c r="BH55" i="5"/>
  <c r="BI55" i="5"/>
  <c r="BC52" i="5"/>
  <c r="BD52" i="5"/>
  <c r="BE52" i="5"/>
  <c r="BF52" i="5"/>
  <c r="BF51" i="5" s="1"/>
  <c r="BG52" i="5"/>
  <c r="BH52" i="5"/>
  <c r="BH51" i="5" s="1"/>
  <c r="BI52" i="5"/>
  <c r="BI51" i="5" s="1"/>
  <c r="BC36" i="5"/>
  <c r="BF36" i="5"/>
  <c r="BH36" i="5"/>
  <c r="BI36" i="5"/>
  <c r="BD36" i="5"/>
  <c r="BE36" i="5"/>
  <c r="BG36" i="5"/>
  <c r="BB36" i="5"/>
  <c r="BC15" i="5"/>
  <c r="BC14" i="5" s="1"/>
  <c r="BD15" i="5"/>
  <c r="BD14" i="5" s="1"/>
  <c r="BE15" i="5"/>
  <c r="BE14" i="5" s="1"/>
  <c r="BF15" i="5"/>
  <c r="BF14" i="5" s="1"/>
  <c r="BG15" i="5"/>
  <c r="BG14" i="5" s="1"/>
  <c r="BH15" i="5"/>
  <c r="BH14" i="5" s="1"/>
  <c r="BI15" i="5"/>
  <c r="BI14" i="5" s="1"/>
  <c r="BD51" i="5" l="1"/>
  <c r="BC51" i="5"/>
  <c r="BE51" i="5"/>
  <c r="BG51" i="5"/>
  <c r="BD13" i="5"/>
  <c r="BE13" i="5"/>
  <c r="BF13" i="5"/>
  <c r="BC13" i="5"/>
  <c r="BI13" i="5"/>
  <c r="BH13" i="5"/>
  <c r="BG13" i="5"/>
  <c r="CJ23" i="4"/>
  <c r="CJ19" i="4"/>
  <c r="CJ15" i="4"/>
  <c r="BB58" i="5"/>
  <c r="BB55" i="5"/>
  <c r="BB52" i="5"/>
  <c r="BB51" i="5" s="1"/>
  <c r="BB15" i="5"/>
  <c r="BB14" i="5" s="1"/>
  <c r="BB13" i="5" s="1"/>
  <c r="AY52" i="5" l="1"/>
  <c r="AY55" i="5"/>
  <c r="AY56" i="5"/>
  <c r="AY58" i="5"/>
  <c r="AY36" i="5"/>
  <c r="AY26" i="5"/>
  <c r="AY22" i="5"/>
  <c r="AY21" i="5"/>
  <c r="AY20" i="5"/>
  <c r="AY19" i="5"/>
  <c r="AY16" i="5"/>
  <c r="AY51" i="5" l="1"/>
  <c r="AY17" i="5"/>
  <c r="AY15" i="5" s="1"/>
  <c r="AY18" i="5"/>
  <c r="AY23" i="5"/>
  <c r="AY24" i="5"/>
  <c r="AY27" i="5"/>
  <c r="AY14" i="5" l="1"/>
  <c r="AY13" i="5"/>
  <c r="AX36" i="5"/>
  <c r="AX27" i="5" l="1"/>
  <c r="AX26" i="5"/>
  <c r="AX20" i="5"/>
  <c r="AX24" i="5"/>
  <c r="AX23" i="5"/>
  <c r="AX22" i="5"/>
  <c r="AX21" i="5"/>
  <c r="AX19" i="5"/>
  <c r="AX18" i="5"/>
  <c r="AX17" i="5"/>
  <c r="AX16" i="5"/>
  <c r="AX15" i="5" s="1"/>
  <c r="AX14" i="5" l="1"/>
  <c r="AX58" i="5"/>
  <c r="AX52" i="5"/>
  <c r="AX56" i="5" l="1"/>
  <c r="AX55" i="5"/>
  <c r="AX51" i="5" s="1"/>
  <c r="AX13" i="5" l="1"/>
  <c r="AW26" i="5"/>
  <c r="AW15" i="5"/>
  <c r="AW27" i="5"/>
  <c r="AW14" i="5" s="1"/>
  <c r="AW36" i="5"/>
  <c r="AW58" i="5"/>
  <c r="AW55" i="5"/>
  <c r="AW52" i="5"/>
  <c r="AW51" i="5" s="1"/>
  <c r="AV52" i="5"/>
  <c r="AV51" i="5" s="1"/>
  <c r="AP52" i="5"/>
  <c r="AP51" i="5" s="1"/>
  <c r="AP55" i="5"/>
  <c r="AP58" i="5"/>
  <c r="AP36" i="5"/>
  <c r="AV58" i="5"/>
  <c r="AV55" i="5"/>
  <c r="AV36" i="5"/>
  <c r="AV34" i="5"/>
  <c r="AV27" i="5"/>
  <c r="AV15" i="5"/>
  <c r="AV14" i="5" s="1"/>
  <c r="AV13" i="5" s="1"/>
  <c r="AU58" i="5"/>
  <c r="AU55" i="5"/>
  <c r="AU52" i="5"/>
  <c r="AU51" i="5" s="1"/>
  <c r="AU36" i="5"/>
  <c r="AU13" i="5" s="1"/>
  <c r="AU34" i="5"/>
  <c r="AU27" i="5"/>
  <c r="AT52" i="5"/>
  <c r="AT58" i="5"/>
  <c r="AT55" i="5"/>
  <c r="AT36" i="5"/>
  <c r="AS36" i="5"/>
  <c r="AT34" i="5"/>
  <c r="AT27" i="5"/>
  <c r="AU15" i="5"/>
  <c r="AU14" i="5"/>
  <c r="AT15" i="5"/>
  <c r="AT14" i="5" s="1"/>
  <c r="AT13" i="5" s="1"/>
  <c r="AS58" i="5"/>
  <c r="AS55" i="5"/>
  <c r="AS52" i="5"/>
  <c r="AS51" i="5"/>
  <c r="AS34" i="5"/>
  <c r="AS27" i="5"/>
  <c r="AS15" i="5"/>
  <c r="AS14" i="5"/>
  <c r="AS13" i="5" s="1"/>
  <c r="AR60" i="5"/>
  <c r="AR58" i="5" s="1"/>
  <c r="AQ58" i="5"/>
  <c r="AR55" i="5"/>
  <c r="AR52" i="5"/>
  <c r="AR51" i="5" s="1"/>
  <c r="AR36" i="5"/>
  <c r="AR34" i="5"/>
  <c r="AR27" i="5"/>
  <c r="AR15" i="5"/>
  <c r="AR14" i="5" s="1"/>
  <c r="AR13" i="5" s="1"/>
  <c r="AQ55" i="5"/>
  <c r="AQ52" i="5"/>
  <c r="AQ51" i="5" s="1"/>
  <c r="AQ36" i="5"/>
  <c r="AQ13" i="5" s="1"/>
  <c r="AQ34" i="5"/>
  <c r="AQ27" i="5"/>
  <c r="AQ15" i="5"/>
  <c r="AQ14" i="5"/>
  <c r="AP34" i="5"/>
  <c r="AP27" i="5"/>
  <c r="AP15" i="5"/>
  <c r="AP14" i="5"/>
  <c r="AP13" i="5" s="1"/>
  <c r="AO58" i="5"/>
  <c r="AO55" i="5"/>
  <c r="AO51" i="5" s="1"/>
  <c r="AO52" i="5"/>
  <c r="AO36" i="5"/>
  <c r="AO34" i="5"/>
  <c r="AO27" i="5"/>
  <c r="AO15" i="5"/>
  <c r="AO14" i="5"/>
  <c r="AO13" i="5"/>
  <c r="AN52" i="5"/>
  <c r="AN55" i="5"/>
  <c r="AN51" i="5" s="1"/>
  <c r="AN58" i="5"/>
  <c r="AN36" i="5"/>
  <c r="AN34" i="5"/>
  <c r="AM36" i="5"/>
  <c r="AN27" i="5"/>
  <c r="AN15" i="5"/>
  <c r="AN14" i="5" s="1"/>
  <c r="AN13" i="5" s="1"/>
  <c r="BR19" i="4"/>
  <c r="BQ19" i="4"/>
  <c r="AM58" i="5"/>
  <c r="AM55" i="5"/>
  <c r="AM52" i="5"/>
  <c r="AM51" i="5"/>
  <c r="AM34" i="5"/>
  <c r="AM27" i="5"/>
  <c r="AM15" i="5"/>
  <c r="AM14" i="5"/>
  <c r="AM13" i="5" s="1"/>
  <c r="AL34" i="5"/>
  <c r="AK34" i="5"/>
  <c r="AJ34" i="5"/>
  <c r="AI34" i="5"/>
  <c r="AH34" i="5"/>
  <c r="AL27" i="5"/>
  <c r="AL52" i="5"/>
  <c r="AL55" i="5"/>
  <c r="AL51" i="5" s="1"/>
  <c r="AL58" i="5"/>
  <c r="AL36" i="5"/>
  <c r="AK27" i="5"/>
  <c r="AK14" i="5" s="1"/>
  <c r="AL15" i="5"/>
  <c r="AL14" i="5" s="1"/>
  <c r="AL13" i="5" s="1"/>
  <c r="AK15" i="5"/>
  <c r="BR23" i="4"/>
  <c r="AK52" i="5"/>
  <c r="AK51" i="5" s="1"/>
  <c r="AK58" i="5"/>
  <c r="AK55" i="5"/>
  <c r="AK36" i="5"/>
  <c r="AJ27" i="5"/>
  <c r="AJ14" i="5" s="1"/>
  <c r="R33" i="1"/>
  <c r="S33" i="1"/>
  <c r="T33" i="1"/>
  <c r="AJ36" i="5"/>
  <c r="AJ15" i="5"/>
  <c r="BQ23" i="4"/>
  <c r="BQ15" i="4"/>
  <c r="BR15" i="4"/>
  <c r="AJ55" i="5"/>
  <c r="AJ51" i="5" s="1"/>
  <c r="AJ58" i="5"/>
  <c r="AJ52" i="5"/>
  <c r="Y34" i="5"/>
  <c r="Z34" i="5"/>
  <c r="AA34" i="5"/>
  <c r="AB34" i="5"/>
  <c r="AC34" i="5"/>
  <c r="AD34" i="5"/>
  <c r="AE34" i="5"/>
  <c r="AF34" i="5"/>
  <c r="AG34" i="5"/>
  <c r="AI15" i="5"/>
  <c r="AI27" i="5"/>
  <c r="AI14" i="5" s="1"/>
  <c r="AI13" i="5" s="1"/>
  <c r="AH36" i="5"/>
  <c r="AH27" i="5"/>
  <c r="AH14" i="5" s="1"/>
  <c r="AI52" i="5"/>
  <c r="AI51" i="5"/>
  <c r="AI55" i="5"/>
  <c r="AI58" i="5"/>
  <c r="AI36" i="5"/>
  <c r="AH55" i="5"/>
  <c r="AH58" i="5"/>
  <c r="AH52" i="5"/>
  <c r="AH51" i="5"/>
  <c r="AG27" i="5"/>
  <c r="BP21" i="4"/>
  <c r="BP23" i="4" s="1"/>
  <c r="BO21" i="4"/>
  <c r="BO23" i="4" s="1"/>
  <c r="BP17" i="4"/>
  <c r="BP19" i="4" s="1"/>
  <c r="BO17" i="4"/>
  <c r="BO19" i="4" s="1"/>
  <c r="BO15" i="4"/>
  <c r="BP15" i="4"/>
  <c r="BN15" i="4"/>
  <c r="AG52" i="5"/>
  <c r="AG51" i="5"/>
  <c r="AG58" i="5"/>
  <c r="AG55" i="5"/>
  <c r="AG36" i="5"/>
  <c r="AG13" i="5" s="1"/>
  <c r="BN23" i="4"/>
  <c r="BM23" i="4"/>
  <c r="BJ23" i="4"/>
  <c r="BI23" i="4"/>
  <c r="BH23" i="4"/>
  <c r="BD23" i="4"/>
  <c r="BC23" i="4"/>
  <c r="BB23" i="4"/>
  <c r="BA23" i="4"/>
  <c r="AZ23" i="4"/>
  <c r="AY23" i="4"/>
  <c r="AX23" i="4"/>
  <c r="AW23" i="4"/>
  <c r="AV23" i="4"/>
  <c r="AU23" i="4"/>
  <c r="BE22" i="4"/>
  <c r="BN19" i="4"/>
  <c r="BM19" i="4"/>
  <c r="BJ19" i="4"/>
  <c r="BI19" i="4"/>
  <c r="BH19" i="4"/>
  <c r="BD19" i="4"/>
  <c r="BB19" i="4"/>
  <c r="BA19" i="4"/>
  <c r="AZ19" i="4"/>
  <c r="AY19" i="4"/>
  <c r="AX19" i="4"/>
  <c r="AW19" i="4"/>
  <c r="AV19" i="4"/>
  <c r="AU19" i="4"/>
  <c r="AT19" i="4"/>
  <c r="BC17" i="4"/>
  <c r="BC19" i="4"/>
  <c r="BM15" i="4"/>
  <c r="BH15" i="4"/>
  <c r="BB15" i="4"/>
  <c r="BA15" i="4"/>
  <c r="AZ15" i="4"/>
  <c r="AY15" i="4"/>
  <c r="AX15" i="4"/>
  <c r="AW15" i="4"/>
  <c r="AV15" i="4"/>
  <c r="AU15" i="4"/>
  <c r="AT15" i="4"/>
  <c r="C7" i="4"/>
  <c r="C6" i="4"/>
  <c r="S66" i="5"/>
  <c r="R66" i="5"/>
  <c r="Q66" i="5"/>
  <c r="P66" i="5"/>
  <c r="O66" i="5"/>
  <c r="N66" i="5"/>
  <c r="AC58" i="5"/>
  <c r="X59" i="5"/>
  <c r="AF58" i="5"/>
  <c r="AE58" i="5"/>
  <c r="AD58" i="5"/>
  <c r="J58" i="5"/>
  <c r="I58" i="5"/>
  <c r="H58" i="5"/>
  <c r="G58" i="5"/>
  <c r="F58" i="5"/>
  <c r="E58" i="5"/>
  <c r="D58" i="5"/>
  <c r="AF55" i="5"/>
  <c r="AE55" i="5"/>
  <c r="AE51" i="5"/>
  <c r="AD55" i="5"/>
  <c r="AC55" i="5"/>
  <c r="T55" i="5"/>
  <c r="S55" i="5"/>
  <c r="R55" i="5"/>
  <c r="Q55" i="5"/>
  <c r="P55" i="5"/>
  <c r="O55" i="5"/>
  <c r="N55" i="5"/>
  <c r="M55" i="5"/>
  <c r="L55" i="5"/>
  <c r="K55" i="5"/>
  <c r="AF52" i="5"/>
  <c r="AF51" i="5" s="1"/>
  <c r="AE52" i="5"/>
  <c r="AD52" i="5"/>
  <c r="AC52" i="5"/>
  <c r="J52" i="5"/>
  <c r="J51" i="5"/>
  <c r="I52" i="5"/>
  <c r="I51" i="5" s="1"/>
  <c r="H52" i="5"/>
  <c r="H51" i="5"/>
  <c r="G52" i="5"/>
  <c r="G51" i="5"/>
  <c r="F52" i="5"/>
  <c r="F51" i="5"/>
  <c r="E52" i="5"/>
  <c r="E51" i="5"/>
  <c r="D52" i="5"/>
  <c r="D51" i="5"/>
  <c r="AF47" i="5"/>
  <c r="AF36" i="5" s="1"/>
  <c r="AE44" i="5"/>
  <c r="AD36" i="5"/>
  <c r="AC36" i="5"/>
  <c r="AB36" i="5"/>
  <c r="BJ13" i="4"/>
  <c r="BJ15" i="4" s="1"/>
  <c r="AA36" i="5"/>
  <c r="BI13" i="4" s="1"/>
  <c r="BI15" i="4" s="1"/>
  <c r="Z36" i="5"/>
  <c r="T36" i="5"/>
  <c r="S36" i="5"/>
  <c r="R36" i="5"/>
  <c r="L38" i="5"/>
  <c r="L36" i="5" s="1"/>
  <c r="X34" i="5"/>
  <c r="S34" i="5"/>
  <c r="R34" i="5"/>
  <c r="Q34" i="5"/>
  <c r="P34" i="5"/>
  <c r="O34" i="5"/>
  <c r="L34" i="5"/>
  <c r="K34" i="5"/>
  <c r="AF32" i="5"/>
  <c r="S32" i="5"/>
  <c r="S27" i="5"/>
  <c r="AF30" i="5"/>
  <c r="AF29" i="5"/>
  <c r="AF28" i="5"/>
  <c r="AE27" i="5"/>
  <c r="AD27" i="5"/>
  <c r="AC27" i="5"/>
  <c r="AB27" i="5"/>
  <c r="AA27" i="5"/>
  <c r="Z27" i="5"/>
  <c r="T27" i="5"/>
  <c r="R27" i="5"/>
  <c r="Q27" i="5"/>
  <c r="P27" i="5"/>
  <c r="O27" i="5"/>
  <c r="N27" i="5"/>
  <c r="M27" i="5"/>
  <c r="L27" i="5"/>
  <c r="K27" i="5"/>
  <c r="AB26" i="5"/>
  <c r="X26" i="5"/>
  <c r="X25" i="5"/>
  <c r="AB24" i="5"/>
  <c r="X24" i="5"/>
  <c r="AB23" i="5"/>
  <c r="X23" i="5"/>
  <c r="AB22" i="5"/>
  <c r="X22" i="5"/>
  <c r="AB21" i="5"/>
  <c r="X21" i="5"/>
  <c r="AB20" i="5"/>
  <c r="X20" i="5"/>
  <c r="AB19" i="5"/>
  <c r="X19" i="5"/>
  <c r="AB18" i="5"/>
  <c r="X18" i="5"/>
  <c r="AB17" i="5"/>
  <c r="X17" i="5"/>
  <c r="AB16" i="5"/>
  <c r="AB15" i="5" s="1"/>
  <c r="AB14" i="5" s="1"/>
  <c r="X16" i="5"/>
  <c r="T16" i="5"/>
  <c r="AG15" i="5"/>
  <c r="AG14" i="5"/>
  <c r="AE15" i="5"/>
  <c r="AE14" i="5"/>
  <c r="AD15" i="5"/>
  <c r="AD14" i="5" s="1"/>
  <c r="AD13" i="5" s="1"/>
  <c r="AC15" i="5"/>
  <c r="AA15" i="5"/>
  <c r="AA14" i="5" s="1"/>
  <c r="AA13" i="5" s="1"/>
  <c r="Z15" i="5"/>
  <c r="K13" i="5"/>
  <c r="C7" i="5"/>
  <c r="C6" i="5"/>
  <c r="Q67" i="1"/>
  <c r="P67" i="1"/>
  <c r="R65" i="1"/>
  <c r="P54" i="1"/>
  <c r="Q33" i="1"/>
  <c r="O33" i="1"/>
  <c r="C7" i="1"/>
  <c r="C6" i="1"/>
  <c r="AC14" i="5"/>
  <c r="Z14" i="5"/>
  <c r="AC51" i="5"/>
  <c r="AD51" i="5"/>
  <c r="AF15" i="5"/>
  <c r="BK13" i="4"/>
  <c r="AT51" i="5"/>
  <c r="AE38" i="5" l="1"/>
  <c r="AE36" i="5" s="1"/>
  <c r="AE13" i="5" s="1"/>
  <c r="AK13" i="5"/>
  <c r="AW13" i="5"/>
  <c r="AB13" i="5"/>
  <c r="AH13" i="5"/>
  <c r="Z13" i="5"/>
  <c r="AC13" i="5"/>
  <c r="AJ13" i="5"/>
  <c r="AF27" i="5"/>
  <c r="AF14" i="5" s="1"/>
  <c r="AF13" i="5" s="1"/>
</calcChain>
</file>

<file path=xl/sharedStrings.xml><?xml version="1.0" encoding="utf-8"?>
<sst xmlns="http://schemas.openxmlformats.org/spreadsheetml/2006/main" count="644" uniqueCount="321">
  <si>
    <t>DATA_DOMAIN</t>
  </si>
  <si>
    <t>REF_AREA</t>
  </si>
  <si>
    <t>COUNTERPART_AREA</t>
  </si>
  <si>
    <t>FREQ</t>
  </si>
  <si>
    <t>UNIT_MULT</t>
  </si>
  <si>
    <t>INDICATOR</t>
  </si>
  <si>
    <t>Descriptor</t>
  </si>
  <si>
    <t>Country code</t>
  </si>
  <si>
    <t>M</t>
  </si>
  <si>
    <t>COMMENT</t>
  </si>
  <si>
    <t>Country</t>
  </si>
  <si>
    <t xml:space="preserve">Counterpart area </t>
  </si>
  <si>
    <t>Observation status</t>
  </si>
  <si>
    <t>Dataset</t>
  </si>
  <si>
    <t>_Z</t>
  </si>
  <si>
    <t>Q</t>
  </si>
  <si>
    <t>Published</t>
  </si>
  <si>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</si>
  <si>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</si>
  <si>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</si>
  <si>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</si>
  <si>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</si>
  <si>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</si>
  <si>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2018-01</t>
  </si>
  <si>
    <t>CGD</t>
  </si>
  <si>
    <t>FJ</t>
  </si>
  <si>
    <t>FNPF</t>
  </si>
  <si>
    <t>Others</t>
  </si>
  <si>
    <t>Commercial Banks</t>
  </si>
  <si>
    <t>Total</t>
  </si>
  <si>
    <t>2017-Q1</t>
  </si>
  <si>
    <t>2017-Q2</t>
  </si>
  <si>
    <t>2017-Q3</t>
  </si>
  <si>
    <t>2017-Q4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</si>
  <si>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</si>
  <si>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</si>
  <si>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</si>
  <si>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</si>
  <si>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</si>
  <si>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</si>
  <si>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</si>
  <si>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</si>
  <si>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</si>
  <si>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</si>
  <si>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</si>
  <si>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Outstanding Debt</t>
  </si>
  <si>
    <t>Government</t>
  </si>
  <si>
    <t>Statutory Bodies</t>
  </si>
  <si>
    <t>Amortisation</t>
  </si>
  <si>
    <t xml:space="preserve">Total </t>
  </si>
  <si>
    <t>Satutory Bodies</t>
  </si>
  <si>
    <t>Interest Payments</t>
  </si>
  <si>
    <t>FJI_CGD_EBODG_XDC</t>
  </si>
  <si>
    <t>FJI_CGD_EBODSB_XDC</t>
  </si>
  <si>
    <t>FJI_CGD_EBOD_XDC</t>
  </si>
  <si>
    <t>FJI_CGD_EBAG_XDC</t>
  </si>
  <si>
    <t>FJI_CGD_EBASG_XDC</t>
  </si>
  <si>
    <t>FJI_CGD_EBA_XDC</t>
  </si>
  <si>
    <t>FJI_CGD_EBIG_XDC</t>
  </si>
  <si>
    <t>FJI_CGD_EBISG_XDC</t>
  </si>
  <si>
    <t>FJI_CGD_EBI_XDC</t>
  </si>
  <si>
    <t>Central Government Debt Statistics</t>
  </si>
  <si>
    <t>Debt Stock</t>
  </si>
  <si>
    <t>TOTAL GOVERNMENT DEBT ($M)</t>
  </si>
  <si>
    <t>DOMESTIC DEBT</t>
  </si>
  <si>
    <t>BONDS:</t>
  </si>
  <si>
    <t>FNPF Retirement Income Fund</t>
  </si>
  <si>
    <t>FNPF Special Death Benefit Fund</t>
  </si>
  <si>
    <t>Insurance companies</t>
  </si>
  <si>
    <t>RBF</t>
  </si>
  <si>
    <t>Trust Fund</t>
  </si>
  <si>
    <t>Unit Trust of Fiji</t>
  </si>
  <si>
    <t>Merchant Finance</t>
  </si>
  <si>
    <t>Credit Corporation</t>
  </si>
  <si>
    <t>T-BILLS</t>
  </si>
  <si>
    <t>EXTERNAL DEBT</t>
  </si>
  <si>
    <t>BONDS (Global Bond)</t>
  </si>
  <si>
    <t>LOANS</t>
  </si>
  <si>
    <t>2018-Q1</t>
  </si>
  <si>
    <t xml:space="preserve">Debt Servicing </t>
  </si>
  <si>
    <t>Domestic Bonds &amp; Loans</t>
  </si>
  <si>
    <t>Principal</t>
  </si>
  <si>
    <t>Interest</t>
  </si>
  <si>
    <t>External Loans</t>
  </si>
  <si>
    <t>BORROWING (Cumulative)</t>
  </si>
  <si>
    <t>FIB Bonds/Viti Bonds/Fiji Green Bonds</t>
  </si>
  <si>
    <t>External loans</t>
  </si>
  <si>
    <t>External Debt by Currency Composition</t>
  </si>
  <si>
    <t>USD</t>
  </si>
  <si>
    <t>CNY</t>
  </si>
  <si>
    <t>EURO</t>
  </si>
  <si>
    <t>JPY</t>
  </si>
  <si>
    <t>Contingent Liability</t>
  </si>
  <si>
    <t>Government Guarantee( Explicit)</t>
  </si>
  <si>
    <t>Total Contingent Liabilities</t>
  </si>
  <si>
    <t>FJI_CGD_TD_XDC</t>
  </si>
  <si>
    <t>FJI_CGD_TDDB_XDC</t>
  </si>
  <si>
    <t>FJI_CGD_TDEB_XDC</t>
  </si>
  <si>
    <t>FJI_CGD_TDDBB_XDC</t>
  </si>
  <si>
    <t>FJI_CGD_TDDBBFPNF_XDC</t>
  </si>
  <si>
    <t>FJI_CGD_TDDBBFPNFRIF_XDC</t>
  </si>
  <si>
    <t>FJI_CGD_TDDBBFPNFSDBF_XDC</t>
  </si>
  <si>
    <t>FJI_CGD_TDDBBIC_XDC</t>
  </si>
  <si>
    <t>FJI_CGD_TDDBBCB_XDC</t>
  </si>
  <si>
    <t>FJI_CGD_TDDBBRBF_XDC</t>
  </si>
  <si>
    <t>FJI_CGD_TDDBBTF_XDC</t>
  </si>
  <si>
    <t>FJI_CGD_TDDBBUTF_XDC</t>
  </si>
  <si>
    <t>FJI_CGD_TDDBBMF_XDC</t>
  </si>
  <si>
    <t>FJI_CGD_TDDBBCC_XDC</t>
  </si>
  <si>
    <t>FJI_CGD_TDDBBO_XDC</t>
  </si>
  <si>
    <t>FJI_CGD_TDDBTB_XDC</t>
  </si>
  <si>
    <t>FJI_CGD_TDDBTBCB_XDC</t>
  </si>
  <si>
    <t>FJI_CGD_TDDBTBFPNF_XDC</t>
  </si>
  <si>
    <t>FJI_CGD_TDDBTBIC_XDC</t>
  </si>
  <si>
    <t>FJI_CGD_TDDBTBO_XDC</t>
  </si>
  <si>
    <t>FJI_CGD_TDEBBONDS_XDC</t>
  </si>
  <si>
    <t>FJI_CGD_TDEBLOANS_XDC</t>
  </si>
  <si>
    <t>FJI_CGD_TDEBLADB_XDC</t>
  </si>
  <si>
    <t>FJI_CGD_TDEBLEXIM_XDC</t>
  </si>
  <si>
    <t>FJI_CGD_TDEBLCDB_XDC</t>
  </si>
  <si>
    <t>FJI_CGD_TDEBLJICA_XDC</t>
  </si>
  <si>
    <t>FJI_CGD_TDEBLIBRD_XDC</t>
  </si>
  <si>
    <t>FJI_CGD_TDEB_USD_XDC</t>
  </si>
  <si>
    <t>FJI_CGD_TDEB_CNY_XDC</t>
  </si>
  <si>
    <t>FJI_CGD_TDEB_EUR_XDC</t>
  </si>
  <si>
    <t>FJI_CGD_TDEB_JPY_XDC</t>
  </si>
  <si>
    <t>FJI_CGD_DST_XDC</t>
  </si>
  <si>
    <t>FJI_CGD_DSTDBL_XDC</t>
  </si>
  <si>
    <t>FJI_CGD_DSTDBLP_XDC</t>
  </si>
  <si>
    <t>FJI_CGD_DSTDBLI_XDC</t>
  </si>
  <si>
    <t>FJI_CGD_DSTEL_XDC</t>
  </si>
  <si>
    <t>FJI_CGD_DSTELP_XDC</t>
  </si>
  <si>
    <t>FJI_CGD_DSTELI_XDC</t>
  </si>
  <si>
    <t>FJI_CGD_DSTB_XDC</t>
  </si>
  <si>
    <t>FJI_CGD_DSTFB_XDC</t>
  </si>
  <si>
    <t>FJI_CGD_DSTBEL_XDC</t>
  </si>
  <si>
    <t>FJI_CGD_TD_FY_XDC</t>
  </si>
  <si>
    <t>FJI_CGD_TDDB_FY_XDC</t>
  </si>
  <si>
    <t>FJI_CGD_TDDBB_FY_XDC</t>
  </si>
  <si>
    <t>FJI_CGD_TDDBBFPNF_FY_XDC</t>
  </si>
  <si>
    <t>FJI_CGD_TDDBBFPNFRIF_FY_XDC</t>
  </si>
  <si>
    <t>FJI_CGD_TDDBBFPNFSDBF_FY_XDC</t>
  </si>
  <si>
    <t>FJI_CGD_TDDBBIC_FY_XDC</t>
  </si>
  <si>
    <t>FJI_CGD_TDDBBCB_FY_XDC</t>
  </si>
  <si>
    <t>FJI_CGD_TDDBBRBF_FY_XDC</t>
  </si>
  <si>
    <t>FJI_CGD_TDDBBTF_FY_XDC</t>
  </si>
  <si>
    <t>FJI_CGD_TDDBBUTF_FY_XDC</t>
  </si>
  <si>
    <t>FJI_CGD_TDDBBMF_FY_XDC</t>
  </si>
  <si>
    <t>FJI_CGD_TDDBBCC_FY_XDC</t>
  </si>
  <si>
    <t>FJI_CGD_TDDBBO_FY_XDC</t>
  </si>
  <si>
    <t>FJI_CGD_TDDBTB_FY_XDC</t>
  </si>
  <si>
    <t>FJI_CGD_TDDBTBCB_FY_XDC</t>
  </si>
  <si>
    <t>FJI_CGD_TDDBTBFPNF_FY_XDC</t>
  </si>
  <si>
    <t>FJI_CGD_TDDBTBIC_FY_XDC</t>
  </si>
  <si>
    <t>FJI_CGD_TDDBTBO_FY_XDC</t>
  </si>
  <si>
    <t>FJI_CGD_TDEB_FY_XDC</t>
  </si>
  <si>
    <t>FJI_CGD_TDEBBONDS_FY_XDC</t>
  </si>
  <si>
    <t>FJI_CGD_TDEBLOANS_FY_XDC</t>
  </si>
  <si>
    <t>FJI_CGD_TDEBLADB_FY_XDC</t>
  </si>
  <si>
    <t>FJI_CGD_TDEBLEXIM_FY_XDC</t>
  </si>
  <si>
    <t>FJI_CGD_TDEBLCDB_FY_XDC</t>
  </si>
  <si>
    <t>FJI_CGD_TDEBLJICA_FY_XDC</t>
  </si>
  <si>
    <t>FJI_CGD_TDEBLIBRD_FY_XDC</t>
  </si>
  <si>
    <t>FJI_CGD_TDEBLIFAD_FY_XDC</t>
  </si>
  <si>
    <t>FJI_CGD_TDEB_USD_FY_XDC</t>
  </si>
  <si>
    <t>FJI_CGD_TDEB_CNY_FY_XDC</t>
  </si>
  <si>
    <t>FJI_CGD_TDEB_EUR_FY_XDC</t>
  </si>
  <si>
    <t>FJI_CGD_TDEB_JPY_FY_XDC</t>
  </si>
  <si>
    <t>FJI_CGD_CLE_FY_XDC</t>
  </si>
  <si>
    <t>FJI_CGD_CL_FY_XDC</t>
  </si>
  <si>
    <t>FJI_CGD_DST_FY_XDC</t>
  </si>
  <si>
    <t>FJI_CGD_DSTDBL_FY_XDC</t>
  </si>
  <si>
    <t>FJI_CGD_DSTDBLP_FY_XDC</t>
  </si>
  <si>
    <t>FJI_CGD_DSTDBLI_FY_XDC</t>
  </si>
  <si>
    <t>FJI_CGD_DSTEL_FY_XDC</t>
  </si>
  <si>
    <t>FJI_CGD_DSTELP_FY_XDC</t>
  </si>
  <si>
    <t>FJI_CGD_DSTELI_FY_XDC</t>
  </si>
  <si>
    <t>FJI_CGD_DSTB_FY_XDC</t>
  </si>
  <si>
    <t>FJI_CGD_DSTFB_FY_XDC</t>
  </si>
  <si>
    <t>FJI_CGD_DSTBEL_FY_XDC</t>
  </si>
  <si>
    <t>2018-Q2</t>
  </si>
  <si>
    <t>Fiji Sugar Cane Growers Council</t>
  </si>
  <si>
    <t>FJI_CGD_TDDBL_FY_XDC</t>
  </si>
  <si>
    <t>FJI_CGD_TDDBLSC_FY_XDC</t>
  </si>
  <si>
    <t>Asian Development Bank (ADB)</t>
  </si>
  <si>
    <t>EXIM Bank of China (EBOC)</t>
  </si>
  <si>
    <t>China Development Bank (CDB)</t>
  </si>
  <si>
    <t>Exim Bank of Malaysia (EBOM)</t>
  </si>
  <si>
    <t xml:space="preserve">Japan International Cooperation Agency (JICA) </t>
  </si>
  <si>
    <t>International Bank for Reconstruction and Development (IBRD)</t>
  </si>
  <si>
    <t>International Fund for Agricultural Development (IFAD)</t>
  </si>
  <si>
    <t>FJI_CGD_TDEBLEBOM_FY_XDC</t>
  </si>
  <si>
    <t>2018-Q3</t>
  </si>
  <si>
    <t>2018-Q4</t>
  </si>
  <si>
    <t>As % of GDP</t>
  </si>
  <si>
    <t>FJI_CGD_CLE_FY_GDP_PT</t>
  </si>
  <si>
    <t>FJI_CGD_CL_FY_GDP_PT</t>
  </si>
  <si>
    <t xml:space="preserve">                  -  </t>
  </si>
  <si>
    <t>FJI_CGD_TDEBCC_FY_XDC</t>
  </si>
  <si>
    <t>FJI_CGD_TDDBL_XDC</t>
  </si>
  <si>
    <t>FJI_CGD_TDDBLSC_XDC</t>
  </si>
  <si>
    <t>FJI_CGD_TDEBLEBOM_XDC</t>
  </si>
  <si>
    <t>FJI_CGD_TDEBCC_XDC</t>
  </si>
  <si>
    <t>2016-Q1</t>
  </si>
  <si>
    <t>2016-Q2</t>
  </si>
  <si>
    <t>2016-Q3</t>
  </si>
  <si>
    <t>2016-Q4</t>
  </si>
  <si>
    <t>External General Government Debt</t>
  </si>
  <si>
    <t>2019-Q1</t>
  </si>
  <si>
    <t>BORROWING</t>
  </si>
  <si>
    <t>2019-Q2</t>
  </si>
  <si>
    <t>2019-01</t>
  </si>
  <si>
    <t>2019-02</t>
  </si>
  <si>
    <t>2019-03</t>
  </si>
  <si>
    <t>2019-Q3</t>
  </si>
  <si>
    <t>2019-04</t>
  </si>
  <si>
    <t>2019-05</t>
  </si>
  <si>
    <t>FJI_CGD_TDDBTBRF_FY_XDC</t>
  </si>
  <si>
    <t>FJI_CGD_TDDBTBRBF_XDC</t>
  </si>
  <si>
    <t>2019-06</t>
  </si>
  <si>
    <t>2019-Q4</t>
  </si>
  <si>
    <t>2019-07</t>
  </si>
  <si>
    <t>2019-08</t>
  </si>
  <si>
    <t>2019-09</t>
  </si>
  <si>
    <t>2019-10</t>
  </si>
  <si>
    <t>2020-Q1</t>
  </si>
  <si>
    <t>2019-11</t>
  </si>
  <si>
    <t>2019-12</t>
  </si>
  <si>
    <t>2020-Q2</t>
  </si>
  <si>
    <t>2020-01</t>
  </si>
  <si>
    <t>2020-02</t>
  </si>
  <si>
    <t>2020-03</t>
  </si>
  <si>
    <t>2020-04</t>
  </si>
  <si>
    <t>2020-Q3</t>
  </si>
  <si>
    <t>2020-05</t>
  </si>
  <si>
    <t>2020-06</t>
  </si>
  <si>
    <t>2020-07</t>
  </si>
  <si>
    <t>2020-Q4</t>
  </si>
  <si>
    <t>International Development Agency (IDA)</t>
  </si>
  <si>
    <t>Asian Infrastructure Investment Bank (AIIB)</t>
  </si>
  <si>
    <t>2020-08</t>
  </si>
  <si>
    <t>FJI_CGD_TDEBLAIIB_FY_XDC</t>
  </si>
  <si>
    <t>FJI_CGD_TDEBLIDA_FY_XDC</t>
  </si>
  <si>
    <t>2020-09</t>
  </si>
  <si>
    <t>2021-Q1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</si>
  <si>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</si>
  <si>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</si>
  <si>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</si>
  <si>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</si>
  <si>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</si>
  <si>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</si>
  <si>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</si>
  <si>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</si>
  <si>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</si>
  <si>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</si>
  <si>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</si>
  <si>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2021-Q2</t>
  </si>
  <si>
    <t>2021-Q3</t>
  </si>
  <si>
    <t>2021-Q4</t>
  </si>
  <si>
    <t>2021-09</t>
  </si>
  <si>
    <t>2021-10</t>
  </si>
  <si>
    <t>2022-Q1</t>
  </si>
  <si>
    <t>2021-11</t>
  </si>
  <si>
    <t>2021-12</t>
  </si>
  <si>
    <t>2022-Q2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</si>
  <si>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</si>
  <si>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</si>
  <si>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</si>
  <si>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</si>
  <si>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</si>
  <si>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</si>
  <si>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</si>
  <si>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</si>
  <si>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</si>
  <si>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</si>
  <si>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FJI_CGD_TDEBLEIB_XDC</t>
  </si>
  <si>
    <t>European Investment Bank (EIB)</t>
  </si>
  <si>
    <t>2022-Q3</t>
  </si>
  <si>
    <t>2022-Q4</t>
  </si>
  <si>
    <t>2023-Q1</t>
  </si>
  <si>
    <t>2022-11</t>
  </si>
  <si>
    <t>2022-12</t>
  </si>
  <si>
    <t>FJI_CGD_TDEBLEIB_FY_XDC</t>
  </si>
  <si>
    <t>2023-01</t>
  </si>
  <si>
    <t>2023-Q2</t>
  </si>
  <si>
    <t>2023-02</t>
  </si>
  <si>
    <t>2023-03</t>
  </si>
  <si>
    <t>2023-04</t>
  </si>
  <si>
    <t>2023-Q3</t>
  </si>
  <si>
    <t>2023-05</t>
  </si>
  <si>
    <t>v</t>
  </si>
  <si>
    <t>2023-06</t>
  </si>
  <si>
    <t>FJI_CGD_TDEBLAIFFP_FY_XDC</t>
  </si>
  <si>
    <t>Australian Infrastructure Financing Facility for the Pacific (AIFFP)</t>
  </si>
  <si>
    <t>2023-07</t>
  </si>
  <si>
    <t>2023-08</t>
  </si>
  <si>
    <t>2023-09</t>
  </si>
  <si>
    <t>2023-10</t>
  </si>
  <si>
    <t>2023-11</t>
  </si>
  <si>
    <t>2023-Q4</t>
  </si>
  <si>
    <t>2023-12</t>
  </si>
  <si>
    <t>2024-Q1</t>
  </si>
  <si>
    <t>2024-Q2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</si>
  <si>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</si>
  <si>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</si>
  <si>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</si>
  <si>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</si>
  <si>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</si>
  <si>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</si>
  <si>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</si>
  <si>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</si>
  <si>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2024-Q3</t>
  </si>
  <si>
    <t>2024-Q4</t>
  </si>
  <si>
    <t>2025-Q1</t>
  </si>
  <si>
    <t>2024-09</t>
  </si>
  <si>
    <t>2024-10</t>
  </si>
  <si>
    <t>2024-11</t>
  </si>
  <si>
    <t>2024-12</t>
  </si>
  <si>
    <t>2025-01</t>
  </si>
  <si>
    <t>2025-02</t>
  </si>
  <si>
    <t>2025-Q2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</si>
</sst>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5">
    <numFmt numFmtId="5" formatCode="&quot;$&quot;#,##0;\-&quot;$&quot;#,##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0.0"/>
    <numFmt numFmtId="170" formatCode="#,##0.000"/>
    <numFmt numFmtId="171" formatCode="#,##0.0"/>
    <numFmt numFmtId="172" formatCode="0.0%"/>
    <numFmt numFmtId="173" formatCode="#,##0.0000"/>
    <numFmt numFmtId="174" formatCode="_-* #,##0.00\ _€_-;\-* #,##0.00\ _€_-;_-* &quot;-&quot;??\ _€_-;_-@_-"/>
    <numFmt numFmtId="175" formatCode="#,##0.000000"/>
    <numFmt numFmtId="176" formatCode="&quot;   &quot;@"/>
    <numFmt numFmtId="177" formatCode="&quot;      &quot;@"/>
    <numFmt numFmtId="178" formatCode="&quot;         &quot;@"/>
    <numFmt numFmtId="179" formatCode="&quot;            &quot;@"/>
    <numFmt numFmtId="180" formatCode="&quot;               &quot;@"/>
    <numFmt numFmtId="181" formatCode="#,##0;[Red]\(#,##0\)"/>
    <numFmt numFmtId="182" formatCode="_-* #,##0.00_р_._-;\-* #,##0.00_р_._-;_-* &quot;-&quot;??_р_._-;_-@_-"/>
    <numFmt numFmtId="183" formatCode="#,##0;[Red]#,##0"/>
    <numFmt numFmtId="184" formatCode="_-* #,##0.00\ [$€-1]_-;\-* #,##0.00\ [$€-1]_-;_-* &quot;-&quot;??\ [$€-1]_-"/>
    <numFmt numFmtId="185" formatCode="General_)"/>
    <numFmt numFmtId="186" formatCode="#,#00"/>
    <numFmt numFmtId="187" formatCode="#,"/>
    <numFmt numFmtId="188" formatCode="0_)"/>
    <numFmt numFmtId="189" formatCode="_-* #,##0\ _F_-;\-* #,##0\ _F_-;_-* &quot;-&quot;\ _F_-;_-@_-"/>
    <numFmt numFmtId="190" formatCode="_-* #,##0.00\ _F_-;\-* #,##0.00\ _F_-;_-* &quot;-&quot;??\ _F_-;_-@_-"/>
    <numFmt numFmtId="191" formatCode="_-* #,##0\ _F_-;\-* #,##0\ _F_-;_-* &quot;-&quot;??\ _F_-;_-@_-"/>
    <numFmt numFmtId="192" formatCode="&quot;Cr$&quot;#,##0_);[Red]\(&quot;Cr$&quot;#,##0\)"/>
    <numFmt numFmtId="193" formatCode="&quot;Cr$&quot;#,##0.00_);[Red]\(&quot;Cr$&quot;#,##0.00\)"/>
    <numFmt numFmtId="194" formatCode="\$#,"/>
    <numFmt numFmtId="195" formatCode="_-* #,##0\ &quot;F&quot;_-;\-* #,##0\ &quot;F&quot;_-;_-* &quot;-&quot;\ &quot;F&quot;_-;_-@_-"/>
    <numFmt numFmtId="196" formatCode="_-* #,##0.00\ &quot;F&quot;_-;\-* #,##0.00\ &quot;F&quot;_-;_-* &quot;-&quot;??\ &quot;F&quot;_-;_-@_-"/>
    <numFmt numFmtId="197" formatCode="&quot;$&quot;#,#00"/>
    <numFmt numFmtId="198" formatCode="&quot;$&quot;#,"/>
    <numFmt numFmtId="199" formatCode="[&gt;=0.05]#,##0.0;[&lt;=-0.05]\-#,##0.0;?0.0"/>
    <numFmt numFmtId="200" formatCode="[&gt;=0.05]\(#,##0.0\);[&lt;=-0.05]\(\-#,##0.0\);\(\-\-\);\(@\)"/>
    <numFmt numFmtId="201" formatCode="[Black]#,##0.0;[Black]\-#,##0.0;;"/>
    <numFmt numFmtId="202" formatCode="[Black][&gt;0.05]#,##0.0;[Black][&lt;-0.05]\-#,##0.0;;"/>
    <numFmt numFmtId="203" formatCode="[Black][&gt;0.5]#,##0;[Black][&lt;-0.5]\-#,##0;;"/>
    <numFmt numFmtId="204" formatCode="%#,#00"/>
    <numFmt numFmtId="205" formatCode="#.##000"/>
    <numFmt numFmtId="206" formatCode="dd\-mmm\-yy_)"/>
    <numFmt numFmtId="207" formatCode="#,##0.0____"/>
    <numFmt numFmtId="208" formatCode="#.##0,"/>
    <numFmt numFmtId="209" formatCode="General\ \ \ \ \ \ "/>
    <numFmt numFmtId="210" formatCode="0.0\ \ \ \ \ \ \ \ "/>
    <numFmt numFmtId="211" formatCode="mmmm\ yyyy"/>
    <numFmt numFmtId="212" formatCode="\$#,##0.00\ ;\(\$#,##0.00\)"/>
    <numFmt numFmtId="213" formatCode="_(* #,##0.0_);_(* \(#,##0.0\);_(* &quot;-&quot;??_);_(@_)"/>
    <numFmt numFmtId="214" formatCode="_(* #,##0.000000000000_);_(* \(#,##0.000000000000\);_(* &quot;-&quot;??_);_(@_)"/>
    <numFmt numFmtId="215" formatCode="0.0000"/>
    <numFmt numFmtId="216" formatCode="#,##0.00;\(#,##0.00\)"/>
    <numFmt numFmtId="217" formatCode="#,##0_ ;\-#,##0\ "/>
    <numFmt numFmtId="218" formatCode="[$AUD]\ #,##0.00"/>
    <numFmt numFmtId="219" formatCode="_([$€-2]* #,##0.00_);_([$€-2]* \(#,##0.00\);_([$€-2]* &quot;-&quot;??_)"/>
    <numFmt numFmtId="220" formatCode="_(* #,##0.000000_);_(* \(#,##0.000000\);_(* &quot;-&quot;??_);_(@_)"/>
    <numFmt numFmtId="221" formatCode="_(* #,##0.000000_);_(* \(#,##0.000000\);_(* &quot;-&quot;??????_);_(@_)"/>
    <numFmt numFmtId="222" formatCode="_(* #,##0.0000000_);_(* \(#,##0.0000000\);_(* &quot;-&quot;??_);_(@_)"/>
    <numFmt numFmtId="223" formatCode="_-&quot;£&quot;* #,##0_-;\-&quot;£&quot;* #,##0_-;_-&quot;£&quot;* &quot;-&quot;_-;_-@_-"/>
    <numFmt numFmtId="224" formatCode="_-&quot;£&quot;* #,##0.00_-;\-&quot;£&quot;* #,##0.00_-;_-&quot;£&quot;* &quot;-&quot;??_-;_-@_-"/>
  </numFmts>
  <fonts count="126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color indexed="12"/>
      <name val="Helv"/>
    </font>
    <font>
      <sz val="10"/>
      <name val="Geneva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Arial Cyr"/>
      <charset val="204"/>
    </font>
    <font>
      <sz val="9"/>
      <name val="Tms Rmn"/>
    </font>
    <font>
      <sz val="12"/>
      <name val="Helv"/>
    </font>
    <font>
      <sz val="10"/>
      <name val="MS Sans Serif"/>
      <family val="2"/>
    </font>
    <font>
      <vertAlign val="superscript"/>
      <sz val="11"/>
      <name val="Arial"/>
      <family val="2"/>
    </font>
    <font>
      <sz val="8"/>
      <name val="Arial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0"/>
      <color indexed="36"/>
      <name val="Arial"/>
      <family val="2"/>
    </font>
    <font>
      <u/>
      <sz val="7.5"/>
      <color indexed="12"/>
      <name val="Tms Rmn"/>
    </font>
    <font>
      <u/>
      <sz val="7.5"/>
      <color indexed="36"/>
      <name val="Tms Rmn"/>
    </font>
    <font>
      <u/>
      <sz val="10"/>
      <color indexed="12"/>
      <name val="MS Sans Serif"/>
      <family val="2"/>
    </font>
    <font>
      <sz val="8"/>
      <color indexed="8"/>
      <name val="Helv"/>
    </font>
    <font>
      <u/>
      <sz val="10"/>
      <name val="Times New Roman"/>
      <family val="1"/>
    </font>
    <font>
      <sz val="12"/>
      <name val="Arial"/>
      <family val="2"/>
    </font>
    <font>
      <sz val="10"/>
      <name val="Tms Rmn"/>
    </font>
    <font>
      <sz val="12"/>
      <name val="Tms Rmn"/>
    </font>
    <font>
      <sz val="10"/>
      <name val="Helv"/>
    </font>
    <font>
      <sz val="10"/>
      <color indexed="10"/>
      <name val="MS Sans Serif"/>
      <family val="2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sz val="8"/>
      <name val="Helv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parajita"/>
      <family val="2"/>
    </font>
    <font>
      <sz val="10"/>
      <color theme="1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indexed="8"/>
      <name val="Aparajita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</fonts>
  <fills count="10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63377788628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5422223578601"/>
      </bottom>
      <diagonal/>
    </border>
  </borders>
  <cellStyleXfs count="2242">
    <xf numFmtId="0" fontId="0" fillId="0" borderId="0"/>
    <xf numFmtId="176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92" fillId="38" borderId="0" applyNumberFormat="0" applyBorder="0" applyAlignment="0" applyProtection="0"/>
    <xf numFmtId="0" fontId="6" fillId="3" borderId="0" applyNumberFormat="0" applyBorder="0" applyAlignment="0" applyProtection="0"/>
    <xf numFmtId="0" fontId="92" fillId="39" borderId="0" applyNumberFormat="0" applyBorder="0" applyAlignment="0" applyProtection="0"/>
    <xf numFmtId="0" fontId="6" fillId="5" borderId="0" applyNumberFormat="0" applyBorder="0" applyAlignment="0" applyProtection="0"/>
    <xf numFmtId="0" fontId="92" fillId="40" borderId="0" applyNumberFormat="0" applyBorder="0" applyAlignment="0" applyProtection="0"/>
    <xf numFmtId="0" fontId="6" fillId="6" borderId="0" applyNumberFormat="0" applyBorder="0" applyAlignment="0" applyProtection="0"/>
    <xf numFmtId="0" fontId="92" fillId="41" borderId="0" applyNumberFormat="0" applyBorder="0" applyAlignment="0" applyProtection="0"/>
    <xf numFmtId="0" fontId="6" fillId="8" borderId="0" applyNumberFormat="0" applyBorder="0" applyAlignment="0" applyProtection="0"/>
    <xf numFmtId="0" fontId="92" fillId="42" borderId="0" applyNumberFormat="0" applyBorder="0" applyAlignment="0" applyProtection="0"/>
    <xf numFmtId="0" fontId="6" fillId="2" borderId="0" applyNumberFormat="0" applyBorder="0" applyAlignment="0" applyProtection="0"/>
    <xf numFmtId="0" fontId="92" fillId="43" borderId="0" applyNumberFormat="0" applyBorder="0" applyAlignment="0" applyProtection="0"/>
    <xf numFmtId="0" fontId="6" fillId="4" borderId="0" applyNumberFormat="0" applyBorder="0" applyAlignment="0" applyProtection="0"/>
    <xf numFmtId="178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0" fontId="92" fillId="44" borderId="0" applyNumberFormat="0" applyBorder="0" applyAlignment="0" applyProtection="0"/>
    <xf numFmtId="0" fontId="6" fillId="9" borderId="0" applyNumberFormat="0" applyBorder="0" applyAlignment="0" applyProtection="0"/>
    <xf numFmtId="0" fontId="92" fillId="45" borderId="0" applyNumberFormat="0" applyBorder="0" applyAlignment="0" applyProtection="0"/>
    <xf numFmtId="0" fontId="6" fillId="10" borderId="0" applyNumberFormat="0" applyBorder="0" applyAlignment="0" applyProtection="0"/>
    <xf numFmtId="0" fontId="92" fillId="46" borderId="0" applyNumberFormat="0" applyBorder="0" applyAlignment="0" applyProtection="0"/>
    <xf numFmtId="0" fontId="6" fillId="12" borderId="0" applyNumberFormat="0" applyBorder="0" applyAlignment="0" applyProtection="0"/>
    <xf numFmtId="0" fontId="92" fillId="47" borderId="0" applyNumberFormat="0" applyBorder="0" applyAlignment="0" applyProtection="0"/>
    <xf numFmtId="0" fontId="6" fillId="8" borderId="0" applyNumberFormat="0" applyBorder="0" applyAlignment="0" applyProtection="0"/>
    <xf numFmtId="0" fontId="92" fillId="48" borderId="0" applyNumberFormat="0" applyBorder="0" applyAlignment="0" applyProtection="0"/>
    <xf numFmtId="0" fontId="6" fillId="9" borderId="0" applyNumberFormat="0" applyBorder="0" applyAlignment="0" applyProtection="0"/>
    <xf numFmtId="0" fontId="92" fillId="49" borderId="0" applyNumberFormat="0" applyBorder="0" applyAlignment="0" applyProtection="0"/>
    <xf numFmtId="0" fontId="6" fillId="14" borderId="0" applyNumberFormat="0" applyBorder="0" applyAlignment="0" applyProtection="0"/>
    <xf numFmtId="180" fontId="12" fillId="0" borderId="0" applyFont="0" applyFill="0" applyBorder="0" applyAlignment="0" applyProtection="0"/>
    <xf numFmtId="0" fontId="93" fillId="50" borderId="0" applyNumberFormat="0" applyBorder="0" applyAlignment="0" applyProtection="0"/>
    <xf numFmtId="0" fontId="75" fillId="15" borderId="0" applyNumberFormat="0" applyBorder="0" applyAlignment="0" applyProtection="0"/>
    <xf numFmtId="0" fontId="93" fillId="51" borderId="0" applyNumberFormat="0" applyBorder="0" applyAlignment="0" applyProtection="0"/>
    <xf numFmtId="0" fontId="75" fillId="10" borderId="0" applyNumberFormat="0" applyBorder="0" applyAlignment="0" applyProtection="0"/>
    <xf numFmtId="0" fontId="93" fillId="52" borderId="0" applyNumberFormat="0" applyBorder="0" applyAlignment="0" applyProtection="0"/>
    <xf numFmtId="0" fontId="75" fillId="12" borderId="0" applyNumberFormat="0" applyBorder="0" applyAlignment="0" applyProtection="0"/>
    <xf numFmtId="0" fontId="93" fillId="53" borderId="0" applyNumberFormat="0" applyBorder="0" applyAlignment="0" applyProtection="0"/>
    <xf numFmtId="0" fontId="75" fillId="16" borderId="0" applyNumberFormat="0" applyBorder="0" applyAlignment="0" applyProtection="0"/>
    <xf numFmtId="0" fontId="93" fillId="54" borderId="0" applyNumberFormat="0" applyBorder="0" applyAlignment="0" applyProtection="0"/>
    <xf numFmtId="0" fontId="75" fillId="17" borderId="0" applyNumberFormat="0" applyBorder="0" applyAlignment="0" applyProtection="0"/>
    <xf numFmtId="0" fontId="93" fillId="55" borderId="0" applyNumberFormat="0" applyBorder="0" applyAlignment="0" applyProtection="0"/>
    <xf numFmtId="0" fontId="75" fillId="19" borderId="0" applyNumberFormat="0" applyBorder="0" applyAlignment="0" applyProtection="0"/>
    <xf numFmtId="0" fontId="93" fillId="56" borderId="0" applyNumberFormat="0" applyBorder="0" applyAlignment="0" applyProtection="0"/>
    <xf numFmtId="0" fontId="75" fillId="20" borderId="0" applyNumberFormat="0" applyBorder="0" applyAlignment="0" applyProtection="0"/>
    <xf numFmtId="0" fontId="93" fillId="57" borderId="0" applyNumberFormat="0" applyBorder="0" applyAlignment="0" applyProtection="0"/>
    <xf numFmtId="0" fontId="75" fillId="22" borderId="0" applyNumberFormat="0" applyBorder="0" applyAlignment="0" applyProtection="0"/>
    <xf numFmtId="0" fontId="93" fillId="58" borderId="0" applyNumberFormat="0" applyBorder="0" applyAlignment="0" applyProtection="0"/>
    <xf numFmtId="0" fontId="75" fillId="18" borderId="0" applyNumberFormat="0" applyBorder="0" applyAlignment="0" applyProtection="0"/>
    <xf numFmtId="0" fontId="93" fillId="59" borderId="0" applyNumberFormat="0" applyBorder="0" applyAlignment="0" applyProtection="0"/>
    <xf numFmtId="0" fontId="75" fillId="16" borderId="0" applyNumberFormat="0" applyBorder="0" applyAlignment="0" applyProtection="0"/>
    <xf numFmtId="0" fontId="93" fillId="60" borderId="0" applyNumberFormat="0" applyBorder="0" applyAlignment="0" applyProtection="0"/>
    <xf numFmtId="0" fontId="75" fillId="17" borderId="0" applyNumberFormat="0" applyBorder="0" applyAlignment="0" applyProtection="0"/>
    <xf numFmtId="0" fontId="93" fillId="61" borderId="0" applyNumberFormat="0" applyBorder="0" applyAlignment="0" applyProtection="0"/>
    <xf numFmtId="0" fontId="75" fillId="21" borderId="0" applyNumberFormat="0" applyBorder="0" applyAlignment="0" applyProtection="0"/>
    <xf numFmtId="0" fontId="13" fillId="0" borderId="1">
      <protection hidden="1"/>
    </xf>
    <xf numFmtId="0" fontId="14" fillId="11" borderId="1" applyNumberFormat="0" applyFont="0" applyBorder="0" applyAlignment="0" applyProtection="0">
      <protection hidden="1"/>
    </xf>
    <xf numFmtId="0" fontId="94" fillId="62" borderId="0" applyNumberFormat="0" applyBorder="0" applyAlignment="0" applyProtection="0"/>
    <xf numFmtId="0" fontId="76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95" fillId="63" borderId="28" applyNumberFormat="0" applyAlignment="0" applyProtection="0"/>
    <xf numFmtId="0" fontId="77" fillId="11" borderId="2" applyNumberFormat="0" applyAlignment="0" applyProtection="0"/>
    <xf numFmtId="0" fontId="96" fillId="64" borderId="29" applyNumberFormat="0" applyAlignment="0" applyProtection="0"/>
    <xf numFmtId="0" fontId="78" fillId="23" borderId="3" applyNumberFormat="0" applyAlignment="0" applyProtection="0"/>
    <xf numFmtId="181" fontId="4" fillId="0" borderId="0"/>
    <xf numFmtId="0" fontId="17" fillId="24" borderId="4">
      <alignment horizontal="right" vertical="center"/>
    </xf>
    <xf numFmtId="3" fontId="17" fillId="24" borderId="4">
      <alignment horizontal="right" vertical="center" indent="1"/>
    </xf>
    <xf numFmtId="171" fontId="17" fillId="24" borderId="4">
      <alignment horizontal="right" vertical="center" indent="1"/>
    </xf>
    <xf numFmtId="4" fontId="17" fillId="24" borderId="4">
      <alignment horizontal="right" vertical="center" indent="1"/>
    </xf>
    <xf numFmtId="170" fontId="17" fillId="24" borderId="4">
      <alignment horizontal="right" vertical="center" indent="1"/>
    </xf>
    <xf numFmtId="173" fontId="17" fillId="24" borderId="4">
      <alignment horizontal="right" vertical="center" indent="1"/>
    </xf>
    <xf numFmtId="0" fontId="18" fillId="24" borderId="4">
      <alignment horizontal="right" vertical="center"/>
    </xf>
    <xf numFmtId="3" fontId="18" fillId="24" borderId="4">
      <alignment horizontal="right" vertical="center" indent="1"/>
    </xf>
    <xf numFmtId="171" fontId="18" fillId="24" borderId="4">
      <alignment horizontal="right" vertical="center" indent="1"/>
    </xf>
    <xf numFmtId="4" fontId="18" fillId="24" borderId="4">
      <alignment horizontal="right" vertical="center" indent="1"/>
    </xf>
    <xf numFmtId="170" fontId="18" fillId="24" borderId="4">
      <alignment horizontal="right" vertical="center" indent="1"/>
    </xf>
    <xf numFmtId="173" fontId="18" fillId="24" borderId="4">
      <alignment horizontal="right" vertical="center" indent="1"/>
    </xf>
    <xf numFmtId="0" fontId="4" fillId="24" borderId="5"/>
    <xf numFmtId="0" fontId="19" fillId="25" borderId="4">
      <alignment horizontal="center" vertical="center"/>
    </xf>
    <xf numFmtId="0" fontId="17" fillId="24" borderId="4">
      <alignment horizontal="right" vertical="center"/>
    </xf>
    <xf numFmtId="3" fontId="17" fillId="24" borderId="4">
      <alignment horizontal="right" vertical="center" indent="1"/>
    </xf>
    <xf numFmtId="171" fontId="17" fillId="24" borderId="4">
      <alignment horizontal="right" vertical="center" indent="1"/>
    </xf>
    <xf numFmtId="4" fontId="17" fillId="24" borderId="4">
      <alignment horizontal="right" vertical="center" indent="1"/>
    </xf>
    <xf numFmtId="170" fontId="17" fillId="24" borderId="4">
      <alignment horizontal="right" vertical="center" indent="1"/>
    </xf>
    <xf numFmtId="173" fontId="17" fillId="24" borderId="4">
      <alignment horizontal="right" vertical="center" indent="1"/>
    </xf>
    <xf numFmtId="0" fontId="4" fillId="24" borderId="0"/>
    <xf numFmtId="0" fontId="20" fillId="24" borderId="4">
      <alignment horizontal="left" vertical="center"/>
    </xf>
    <xf numFmtId="0" fontId="20" fillId="24" borderId="6">
      <alignment vertical="center"/>
    </xf>
    <xf numFmtId="0" fontId="21" fillId="24" borderId="7">
      <alignment vertical="center"/>
    </xf>
    <xf numFmtId="0" fontId="20" fillId="24" borderId="4"/>
    <xf numFmtId="0" fontId="18" fillId="24" borderId="4">
      <alignment horizontal="right" vertical="center"/>
    </xf>
    <xf numFmtId="3" fontId="18" fillId="24" borderId="4">
      <alignment horizontal="right" vertical="center" indent="1"/>
    </xf>
    <xf numFmtId="171" fontId="18" fillId="24" borderId="4">
      <alignment horizontal="right" vertical="center" indent="1"/>
    </xf>
    <xf numFmtId="4" fontId="18" fillId="24" borderId="4">
      <alignment horizontal="right" vertical="center" indent="1"/>
    </xf>
    <xf numFmtId="170" fontId="18" fillId="24" borderId="4">
      <alignment horizontal="right" vertical="center" indent="1"/>
    </xf>
    <xf numFmtId="173" fontId="18" fillId="24" borderId="4">
      <alignment horizontal="right" vertical="center" indent="1"/>
    </xf>
    <xf numFmtId="0" fontId="22" fillId="26" borderId="4">
      <alignment horizontal="left" vertical="center"/>
    </xf>
    <xf numFmtId="0" fontId="22" fillId="26" borderId="4">
      <alignment horizontal="left" vertical="center"/>
    </xf>
    <xf numFmtId="0" fontId="23" fillId="24" borderId="4">
      <alignment horizontal="left" vertical="center"/>
    </xf>
    <xf numFmtId="0" fontId="24" fillId="24" borderId="5"/>
    <xf numFmtId="0" fontId="19" fillId="27" borderId="4">
      <alignment horizontal="left" vertical="center"/>
    </xf>
    <xf numFmtId="168" fontId="9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92" fillId="0" borderId="0" applyFont="0" applyFill="0" applyBorder="0" applyAlignment="0" applyProtection="0"/>
    <xf numFmtId="168" fontId="92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68" fontId="9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92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9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83" fontId="4" fillId="0" borderId="0" applyFill="0" applyBorder="0" applyAlignment="0" applyProtection="0"/>
    <xf numFmtId="182" fontId="2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4" fillId="0" borderId="0" applyFont="0" applyFill="0" applyBorder="0" applyAlignment="0" applyProtection="0"/>
    <xf numFmtId="21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92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4" fontId="92" fillId="0" borderId="0" applyFont="0" applyFill="0" applyBorder="0" applyAlignment="0" applyProtection="0"/>
    <xf numFmtId="168" fontId="92" fillId="0" borderId="0" applyFont="0" applyFill="0" applyBorder="0" applyAlignment="0" applyProtection="0"/>
    <xf numFmtId="216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168" fontId="92" fillId="0" borderId="0" applyFont="0" applyFill="0" applyBorder="0" applyAlignment="0" applyProtection="0"/>
    <xf numFmtId="168" fontId="92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" fontId="4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21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2" fontId="15" fillId="0" borderId="0">
      <protection locked="0"/>
    </xf>
    <xf numFmtId="0" fontId="4" fillId="0" borderId="0" applyFont="0" applyFill="0" applyBorder="0" applyAlignment="0" applyProtection="0"/>
    <xf numFmtId="169" fontId="26" fillId="0" borderId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184" fontId="4" fillId="0" borderId="0" applyFont="0" applyFill="0" applyBorder="0" applyAlignment="0" applyProtection="0"/>
    <xf numFmtId="219" fontId="4" fillId="0" borderId="0" applyFont="0" applyFill="0" applyBorder="0" applyAlignment="0" applyProtection="0"/>
    <xf numFmtId="219" fontId="4" fillId="0" borderId="0" applyFont="0" applyFill="0" applyBorder="0" applyAlignment="0" applyProtection="0"/>
    <xf numFmtId="185" fontId="27" fillId="0" borderId="0"/>
    <xf numFmtId="0" fontId="9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28" fillId="0" borderId="0"/>
    <xf numFmtId="0" fontId="15" fillId="0" borderId="0">
      <protection locked="0"/>
    </xf>
    <xf numFmtId="186" fontId="15" fillId="0" borderId="0">
      <protection locked="0"/>
    </xf>
    <xf numFmtId="2" fontId="4" fillId="0" borderId="0" applyFont="0" applyFill="0" applyBorder="0" applyAlignment="0" applyProtection="0"/>
    <xf numFmtId="186" fontId="15" fillId="0" borderId="0">
      <protection locked="0"/>
    </xf>
    <xf numFmtId="1" fontId="29" fillId="0" borderId="0" applyNumberFormat="0" applyFill="0" applyBorder="0" applyAlignment="0" applyProtection="0">
      <alignment horizontal="center" vertical="top"/>
    </xf>
    <xf numFmtId="0" fontId="100" fillId="65" borderId="0" applyNumberFormat="0" applyBorder="0" applyAlignment="0" applyProtection="0"/>
    <xf numFmtId="0" fontId="80" fillId="6" borderId="0" applyNumberFormat="0" applyBorder="0" applyAlignment="0" applyProtection="0"/>
    <xf numFmtId="37" fontId="11" fillId="0" borderId="0" applyNumberFormat="0" applyFont="0" applyFill="0"/>
    <xf numFmtId="38" fontId="30" fillId="27" borderId="0" applyNumberFormat="0" applyBorder="0" applyAlignment="0" applyProtection="0"/>
    <xf numFmtId="0" fontId="101" fillId="0" borderId="30" applyNumberFormat="0" applyFill="0" applyAlignment="0" applyProtection="0"/>
    <xf numFmtId="0" fontId="81" fillId="0" borderId="8" applyNumberFormat="0" applyFill="0" applyAlignment="0" applyProtection="0"/>
    <xf numFmtId="0" fontId="102" fillId="0" borderId="31" applyNumberFormat="0" applyFill="0" applyAlignment="0" applyProtection="0"/>
    <xf numFmtId="0" fontId="82" fillId="0" borderId="10" applyNumberFormat="0" applyFill="0" applyAlignment="0" applyProtection="0"/>
    <xf numFmtId="0" fontId="103" fillId="0" borderId="32" applyNumberFormat="0" applyFill="0" applyAlignment="0" applyProtection="0"/>
    <xf numFmtId="0" fontId="83" fillId="0" borderId="11" applyNumberFormat="0" applyFill="0" applyAlignment="0" applyProtection="0"/>
    <xf numFmtId="0" fontId="10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87" fontId="31" fillId="0" borderId="0">
      <protection locked="0"/>
    </xf>
    <xf numFmtId="187" fontId="31" fillId="0" borderId="0"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171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104" fillId="66" borderId="28" applyNumberFormat="0" applyAlignment="0" applyProtection="0"/>
    <xf numFmtId="10" fontId="30" fillId="24" borderId="4" applyNumberFormat="0" applyBorder="0" applyAlignment="0" applyProtection="0"/>
    <xf numFmtId="0" fontId="84" fillId="4" borderId="2" applyNumberFormat="0" applyAlignment="0" applyProtection="0"/>
    <xf numFmtId="15" fontId="4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05" fillId="0" borderId="33" applyNumberFormat="0" applyFill="0" applyAlignment="0" applyProtection="0"/>
    <xf numFmtId="0" fontId="85" fillId="0" borderId="12" applyNumberFormat="0" applyFill="0" applyAlignment="0" applyProtection="0"/>
    <xf numFmtId="0" fontId="39" fillId="0" borderId="1">
      <alignment horizontal="left"/>
      <protection locked="0"/>
    </xf>
    <xf numFmtId="1" fontId="11" fillId="0" borderId="0" applyNumberFormat="0" applyAlignment="0">
      <alignment horizontal="center"/>
    </xf>
    <xf numFmtId="188" fontId="40" fillId="0" borderId="0" applyNumberFormat="0">
      <alignment horizontal="centerContinuous"/>
    </xf>
    <xf numFmtId="166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89" fontId="4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4" fillId="0" borderId="0" applyFont="0" applyFill="0" applyBorder="0" applyAlignment="0" applyProtection="0"/>
    <xf numFmtId="168" fontId="98" fillId="0" borderId="0" applyFont="0" applyFill="0" applyBorder="0" applyAlignment="0" applyProtection="0"/>
    <xf numFmtId="168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190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190" fontId="4" fillId="0" borderId="0" applyFont="0" applyFill="0" applyBorder="0" applyAlignment="0" applyProtection="0"/>
    <xf numFmtId="192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4" fontId="15" fillId="0" borderId="0">
      <protection locked="0"/>
    </xf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95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7" fontId="15" fillId="0" borderId="0">
      <protection locked="0"/>
    </xf>
    <xf numFmtId="198" fontId="15" fillId="0" borderId="0">
      <protection locked="0"/>
    </xf>
    <xf numFmtId="0" fontId="106" fillId="67" borderId="0" applyNumberFormat="0" applyBorder="0" applyAlignment="0" applyProtection="0"/>
    <xf numFmtId="0" fontId="86" fillId="13" borderId="0" applyNumberFormat="0" applyBorder="0" applyAlignment="0" applyProtection="0"/>
    <xf numFmtId="0" fontId="41" fillId="0" borderId="0"/>
    <xf numFmtId="0" fontId="42" fillId="0" borderId="0"/>
    <xf numFmtId="0" fontId="43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92" fillId="0" borderId="0"/>
    <xf numFmtId="0" fontId="9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4" fillId="0" borderId="0"/>
    <xf numFmtId="0" fontId="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5" fillId="0" borderId="0" applyNumberFormat="0" applyFill="0" applyBorder="0" applyAlignment="0" applyProtection="0"/>
    <xf numFmtId="0" fontId="4" fillId="0" borderId="0"/>
    <xf numFmtId="0" fontId="97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28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8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8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4" fillId="0" borderId="0">
      <alignment vertical="top"/>
    </xf>
    <xf numFmtId="0" fontId="4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4" fillId="0" borderId="0">
      <alignment horizontal="left" vertical="top" wrapText="1"/>
    </xf>
    <xf numFmtId="0" fontId="25" fillId="0" borderId="0"/>
    <xf numFmtId="0" fontId="92" fillId="0" borderId="0"/>
    <xf numFmtId="0" fontId="4" fillId="0" borderId="0"/>
    <xf numFmtId="0" fontId="28" fillId="0" borderId="0"/>
    <xf numFmtId="0" fontId="4" fillId="0" borderId="0"/>
    <xf numFmtId="0" fontId="92" fillId="0" borderId="0"/>
    <xf numFmtId="0" fontId="92" fillId="0" borderId="0"/>
    <xf numFmtId="0" fontId="4" fillId="0" borderId="0">
      <alignment vertical="top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3" fontId="4" fillId="0" borderId="0"/>
    <xf numFmtId="0" fontId="92" fillId="0" borderId="0"/>
    <xf numFmtId="0" fontId="4" fillId="0" borderId="0"/>
    <xf numFmtId="0" fontId="28" fillId="0" borderId="0"/>
    <xf numFmtId="0" fontId="4" fillId="0" borderId="0"/>
    <xf numFmtId="0" fontId="11" fillId="0" borderId="0"/>
    <xf numFmtId="0" fontId="98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4" fillId="0" borderId="0"/>
    <xf numFmtId="0" fontId="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28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4" fillId="0" borderId="0"/>
    <xf numFmtId="0" fontId="4" fillId="0" borderId="0"/>
    <xf numFmtId="0" fontId="92" fillId="0" borderId="0"/>
    <xf numFmtId="218" fontId="4" fillId="0" borderId="0">
      <alignment vertical="top"/>
    </xf>
    <xf numFmtId="0" fontId="92" fillId="0" borderId="0"/>
    <xf numFmtId="0" fontId="92" fillId="0" borderId="0"/>
    <xf numFmtId="0" fontId="4" fillId="0" borderId="0">
      <alignment vertical="top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92" fillId="0" borderId="0"/>
    <xf numFmtId="0" fontId="4" fillId="0" borderId="0"/>
    <xf numFmtId="0" fontId="4" fillId="0" borderId="0"/>
    <xf numFmtId="0" fontId="92" fillId="0" borderId="0"/>
    <xf numFmtId="0" fontId="4" fillId="0" borderId="0"/>
    <xf numFmtId="0" fontId="11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28" fillId="0" borderId="0"/>
    <xf numFmtId="0" fontId="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28" fillId="0" borderId="0"/>
    <xf numFmtId="0" fontId="92" fillId="0" borderId="0"/>
    <xf numFmtId="0" fontId="9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28" fillId="0" borderId="0"/>
    <xf numFmtId="0" fontId="4" fillId="0" borderId="0"/>
    <xf numFmtId="0" fontId="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28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4" fillId="0" borderId="0"/>
    <xf numFmtId="199" fontId="11" fillId="0" borderId="0" applyFill="0" applyBorder="0" applyAlignment="0" applyProtection="0">
      <alignment horizontal="right"/>
    </xf>
    <xf numFmtId="0" fontId="4" fillId="7" borderId="13" applyNumberFormat="0" applyFont="0" applyAlignment="0" applyProtection="0"/>
    <xf numFmtId="0" fontId="92" fillId="68" borderId="34" applyNumberFormat="0" applyFont="0" applyAlignment="0" applyProtection="0"/>
    <xf numFmtId="200" fontId="8" fillId="0" borderId="0" applyFill="0" applyBorder="0" applyProtection="0">
      <alignment horizontal="right"/>
    </xf>
    <xf numFmtId="0" fontId="107" fillId="63" borderId="35" applyNumberFormat="0" applyAlignment="0" applyProtection="0"/>
    <xf numFmtId="0" fontId="87" fillId="11" borderId="14" applyNumberFormat="0" applyAlignment="0" applyProtection="0"/>
    <xf numFmtId="9" fontId="9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7" fillId="0" borderId="0" applyFont="0" applyFill="0" applyBorder="0" applyAlignment="0" applyProtection="0"/>
    <xf numFmtId="201" fontId="11" fillId="0" borderId="0" applyFont="0" applyFill="0" applyBorder="0" applyAlignment="0" applyProtection="0"/>
    <xf numFmtId="202" fontId="12" fillId="0" borderId="0" applyFont="0" applyFill="0" applyBorder="0" applyAlignment="0" applyProtection="0"/>
    <xf numFmtId="203" fontId="12" fillId="0" borderId="0" applyFont="0" applyFill="0" applyBorder="0" applyAlignment="0" applyProtection="0"/>
    <xf numFmtId="204" fontId="15" fillId="0" borderId="0">
      <protection locked="0"/>
    </xf>
    <xf numFmtId="205" fontId="15" fillId="0" borderId="0">
      <protection locked="0"/>
    </xf>
    <xf numFmtId="206" fontId="4" fillId="0" borderId="0" applyFont="0" applyFill="0" applyBorder="0" applyAlignment="0" applyProtection="0"/>
    <xf numFmtId="204" fontId="15" fillId="0" borderId="0">
      <protection locked="0"/>
    </xf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5" fillId="0" borderId="0" applyFont="0" applyFill="0" applyBorder="0" applyAlignment="0" applyProtection="0"/>
    <xf numFmtId="207" fontId="11" fillId="0" borderId="0" applyFill="0" applyBorder="0" applyAlignment="0">
      <alignment horizontal="centerContinuous"/>
    </xf>
    <xf numFmtId="0" fontId="12" fillId="0" borderId="0"/>
    <xf numFmtId="205" fontId="15" fillId="0" borderId="0">
      <protection locked="0"/>
    </xf>
    <xf numFmtId="208" fontId="15" fillId="0" borderId="0">
      <protection locked="0"/>
    </xf>
    <xf numFmtId="0" fontId="45" fillId="0" borderId="1" applyNumberFormat="0" applyFill="0" applyBorder="0" applyAlignment="0" applyProtection="0">
      <protection hidden="1"/>
    </xf>
    <xf numFmtId="4" fontId="46" fillId="30" borderId="9" applyNumberFormat="0" applyProtection="0">
      <alignment vertical="center"/>
    </xf>
    <xf numFmtId="4" fontId="47" fillId="30" borderId="9" applyNumberFormat="0" applyProtection="0">
      <alignment vertical="center"/>
    </xf>
    <xf numFmtId="4" fontId="48" fillId="0" borderId="0" applyNumberFormat="0" applyProtection="0">
      <alignment horizontal="left" vertical="center" indent="1"/>
    </xf>
    <xf numFmtId="4" fontId="49" fillId="31" borderId="9" applyNumberFormat="0" applyProtection="0">
      <alignment horizontal="left" vertical="center" indent="1"/>
    </xf>
    <xf numFmtId="4" fontId="50" fillId="32" borderId="9" applyNumberFormat="0" applyProtection="0">
      <alignment vertical="center"/>
    </xf>
    <xf numFmtId="4" fontId="7" fillId="25" borderId="9" applyNumberFormat="0" applyProtection="0">
      <alignment vertical="center"/>
    </xf>
    <xf numFmtId="4" fontId="50" fillId="33" borderId="9" applyNumberFormat="0" applyProtection="0">
      <alignment vertical="center"/>
    </xf>
    <xf numFmtId="4" fontId="51" fillId="32" borderId="9" applyNumberFormat="0" applyProtection="0">
      <alignment vertical="center"/>
    </xf>
    <xf numFmtId="4" fontId="52" fillId="34" borderId="9" applyNumberFormat="0" applyProtection="0">
      <alignment horizontal="left" vertical="center" indent="1"/>
    </xf>
    <xf numFmtId="4" fontId="52" fillId="35" borderId="9" applyNumberFormat="0" applyProtection="0">
      <alignment horizontal="left" vertical="center" indent="1"/>
    </xf>
    <xf numFmtId="4" fontId="53" fillId="31" borderId="9" applyNumberFormat="0" applyProtection="0">
      <alignment horizontal="left" vertical="center" indent="1"/>
    </xf>
    <xf numFmtId="4" fontId="54" fillId="36" borderId="9" applyNumberFormat="0" applyProtection="0">
      <alignment vertical="center"/>
    </xf>
    <xf numFmtId="4" fontId="55" fillId="24" borderId="9" applyNumberFormat="0" applyProtection="0">
      <alignment horizontal="left" vertical="center" indent="1"/>
    </xf>
    <xf numFmtId="4" fontId="56" fillId="35" borderId="9" applyNumberFormat="0" applyProtection="0">
      <alignment horizontal="left" vertical="center" indent="1"/>
    </xf>
    <xf numFmtId="4" fontId="57" fillId="31" borderId="9" applyNumberFormat="0" applyProtection="0">
      <alignment horizontal="left" vertical="center" indent="1"/>
    </xf>
    <xf numFmtId="4" fontId="58" fillId="24" borderId="9" applyNumberFormat="0" applyProtection="0">
      <alignment vertical="center"/>
    </xf>
    <xf numFmtId="4" fontId="59" fillId="24" borderId="9" applyNumberFormat="0" applyProtection="0">
      <alignment vertical="center"/>
    </xf>
    <xf numFmtId="4" fontId="52" fillId="35" borderId="9" applyNumberFormat="0" applyProtection="0">
      <alignment horizontal="left" vertical="center" indent="1"/>
    </xf>
    <xf numFmtId="4" fontId="60" fillId="24" borderId="9" applyNumberFormat="0" applyProtection="0">
      <alignment vertical="center"/>
    </xf>
    <xf numFmtId="4" fontId="61" fillId="24" borderId="9" applyNumberFormat="0" applyProtection="0">
      <alignment vertical="center"/>
    </xf>
    <xf numFmtId="4" fontId="30" fillId="0" borderId="0" applyNumberFormat="0" applyProtection="0">
      <alignment horizontal="left" vertical="center" indent="1"/>
    </xf>
    <xf numFmtId="4" fontId="62" fillId="24" borderId="9" applyNumberFormat="0" applyProtection="0">
      <alignment vertical="center"/>
    </xf>
    <xf numFmtId="4" fontId="63" fillId="24" borderId="9" applyNumberFormat="0" applyProtection="0">
      <alignment vertical="center"/>
    </xf>
    <xf numFmtId="4" fontId="52" fillId="37" borderId="9" applyNumberFormat="0" applyProtection="0">
      <alignment horizontal="left" vertical="center" indent="1"/>
    </xf>
    <xf numFmtId="4" fontId="64" fillId="36" borderId="9" applyNumberFormat="0" applyProtection="0">
      <alignment horizontal="left" indent="1"/>
    </xf>
    <xf numFmtId="4" fontId="65" fillId="24" borderId="9" applyNumberFormat="0" applyProtection="0">
      <alignment vertical="center"/>
    </xf>
    <xf numFmtId="38" fontId="28" fillId="0" borderId="15"/>
    <xf numFmtId="175" fontId="4" fillId="0" borderId="0">
      <protection locked="0"/>
    </xf>
    <xf numFmtId="38" fontId="28" fillId="0" borderId="0" applyFont="0" applyFill="0" applyBorder="0" applyAlignment="0" applyProtection="0"/>
    <xf numFmtId="40" fontId="28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5" fillId="0" borderId="0">
      <alignment vertical="top"/>
    </xf>
    <xf numFmtId="0" fontId="4" fillId="0" borderId="0" applyNumberFormat="0"/>
    <xf numFmtId="0" fontId="10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2" fontId="31" fillId="0" borderId="0">
      <protection locked="0"/>
    </xf>
    <xf numFmtId="2" fontId="31" fillId="0" borderId="0">
      <protection locked="0"/>
    </xf>
    <xf numFmtId="0" fontId="67" fillId="11" borderId="1"/>
    <xf numFmtId="0" fontId="109" fillId="0" borderId="36" applyNumberFormat="0" applyFill="0" applyAlignment="0" applyProtection="0"/>
    <xf numFmtId="0" fontId="89" fillId="0" borderId="16" applyNumberFormat="0" applyFill="0" applyAlignment="0" applyProtection="0"/>
    <xf numFmtId="205" fontId="15" fillId="0" borderId="0">
      <protection locked="0"/>
    </xf>
    <xf numFmtId="208" fontId="15" fillId="0" borderId="0">
      <protection locked="0"/>
    </xf>
    <xf numFmtId="0" fontId="28" fillId="0" borderId="0"/>
    <xf numFmtId="4" fontId="4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" fillId="0" borderId="0" applyNumberFormat="0" applyFont="0" applyFill="0" applyBorder="0" applyAlignment="0" applyProtection="0">
      <alignment vertical="top"/>
    </xf>
    <xf numFmtId="0" fontId="68" fillId="0" borderId="0" applyNumberFormat="0" applyFont="0" applyFill="0" applyBorder="0" applyAlignment="0" applyProtection="0">
      <alignment vertical="top"/>
    </xf>
    <xf numFmtId="0" fontId="68" fillId="0" borderId="0" applyNumberFormat="0" applyFont="0" applyFill="0" applyBorder="0" applyAlignment="0" applyProtection="0">
      <alignment vertical="top"/>
    </xf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>
      <alignment horizontal="left" vertical="top"/>
    </xf>
    <xf numFmtId="0" fontId="9" fillId="0" borderId="0" applyNumberFormat="0" applyFont="0" applyFill="0" applyBorder="0" applyAlignment="0" applyProtection="0">
      <alignment horizontal="left" vertical="top"/>
    </xf>
    <xf numFmtId="0" fontId="9" fillId="0" borderId="0" applyNumberFormat="0" applyFont="0" applyFill="0" applyBorder="0" applyAlignment="0" applyProtection="0">
      <alignment horizontal="left" vertical="top"/>
    </xf>
    <xf numFmtId="0" fontId="11" fillId="0" borderId="0"/>
    <xf numFmtId="0" fontId="69" fillId="0" borderId="0">
      <alignment horizontal="left" wrapText="1"/>
    </xf>
    <xf numFmtId="0" fontId="70" fillId="0" borderId="17" applyNumberFormat="0" applyFont="0" applyFill="0" applyBorder="0" applyAlignment="0" applyProtection="0">
      <alignment horizontal="center" wrapText="1"/>
    </xf>
    <xf numFmtId="209" fontId="12" fillId="0" borderId="0" applyNumberFormat="0" applyFont="0" applyFill="0" applyBorder="0" applyAlignment="0" applyProtection="0">
      <alignment horizontal="right"/>
    </xf>
    <xf numFmtId="0" fontId="70" fillId="0" borderId="0" applyNumberFormat="0" applyFont="0" applyFill="0" applyBorder="0" applyAlignment="0" applyProtection="0">
      <alignment horizontal="left" indent="1"/>
    </xf>
    <xf numFmtId="210" fontId="70" fillId="0" borderId="0" applyNumberFormat="0" applyFont="0" applyFill="0" applyBorder="0" applyAlignment="0" applyProtection="0"/>
    <xf numFmtId="0" fontId="11" fillId="0" borderId="17" applyNumberFormat="0" applyFont="0" applyFill="0" applyAlignment="0" applyProtection="0">
      <alignment horizontal="center"/>
    </xf>
    <xf numFmtId="0" fontId="11" fillId="0" borderId="0" applyNumberFormat="0" applyFont="0" applyFill="0" applyBorder="0" applyAlignment="0" applyProtection="0">
      <alignment horizontal="left" wrapText="1" indent="1"/>
    </xf>
    <xf numFmtId="0" fontId="70" fillId="0" borderId="0" applyNumberFormat="0" applyFont="0" applyFill="0" applyBorder="0" applyAlignment="0" applyProtection="0">
      <alignment horizontal="left" indent="1"/>
    </xf>
    <xf numFmtId="0" fontId="11" fillId="0" borderId="0" applyNumberFormat="0" applyFont="0" applyFill="0" applyBorder="0" applyAlignment="0" applyProtection="0">
      <alignment horizontal="left" wrapText="1" indent="2"/>
    </xf>
    <xf numFmtId="211" fontId="11" fillId="0" borderId="0">
      <alignment horizontal="right"/>
    </xf>
    <xf numFmtId="0" fontId="71" fillId="0" borderId="0" applyProtection="0"/>
    <xf numFmtId="212" fontId="71" fillId="0" borderId="0" applyProtection="0"/>
    <xf numFmtId="0" fontId="72" fillId="0" borderId="0" applyProtection="0"/>
    <xf numFmtId="0" fontId="73" fillId="0" borderId="0" applyProtection="0"/>
    <xf numFmtId="0" fontId="71" fillId="0" borderId="18" applyProtection="0"/>
    <xf numFmtId="0" fontId="25" fillId="0" borderId="0"/>
    <xf numFmtId="10" fontId="71" fillId="0" borderId="0" applyProtection="0"/>
    <xf numFmtId="0" fontId="71" fillId="0" borderId="0"/>
    <xf numFmtId="2" fontId="71" fillId="0" borderId="0" applyProtection="0"/>
    <xf numFmtId="4" fontId="71" fillId="0" borderId="0" applyProtection="0"/>
    <xf numFmtId="0" fontId="74" fillId="0" borderId="0"/>
    <xf numFmtId="0" fontId="92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92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92" fillId="0" borderId="0" applyFont="0" applyFill="0" applyBorder="0" applyAlignment="0" applyProtection="0"/>
    <xf numFmtId="43" fontId="97" fillId="0" borderId="0" applyFont="0" applyFill="0" applyBorder="0" applyAlignment="0" applyProtection="0"/>
    <xf numFmtId="44" fontId="97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0" fontId="77" fillId="11" borderId="2" applyNumberFormat="0" applyAlignment="0" applyProtection="0"/>
    <xf numFmtId="174" fontId="92" fillId="0" borderId="0" applyFont="0" applyFill="0" applyBorder="0" applyAlignment="0" applyProtection="0"/>
    <xf numFmtId="43" fontId="4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4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182" fontId="25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174" fontId="9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43" fontId="4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4" fontId="9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4" fontId="9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44" fontId="98" fillId="0" borderId="0" applyFont="0" applyFill="0" applyBorder="0" applyAlignment="0" applyProtection="0"/>
    <xf numFmtId="5" fontId="4" fillId="0" borderId="0" applyFont="0" applyFill="0" applyBorder="0" applyAlignment="0" applyProtection="0"/>
    <xf numFmtId="0" fontId="84" fillId="4" borderId="2" applyNumberFormat="0" applyAlignment="0" applyProtection="0"/>
    <xf numFmtId="43" fontId="9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28" fillId="0" borderId="0"/>
    <xf numFmtId="0" fontId="4" fillId="0" borderId="0"/>
    <xf numFmtId="0" fontId="5" fillId="0" borderId="0" applyNumberFormat="0" applyFill="0" applyBorder="0" applyAlignment="0" applyProtection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0" fontId="4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9" fontId="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9" fontId="42" fillId="0" borderId="0"/>
    <xf numFmtId="0" fontId="4" fillId="0" borderId="0"/>
    <xf numFmtId="39" fontId="42" fillId="0" borderId="0"/>
    <xf numFmtId="39" fontId="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0" fontId="4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0" fontId="4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0" fontId="4" fillId="0" borderId="0"/>
    <xf numFmtId="39" fontId="42" fillId="0" borderId="0"/>
    <xf numFmtId="0" fontId="4" fillId="0" borderId="0"/>
    <xf numFmtId="0" fontId="4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0" fontId="4" fillId="0" borderId="0"/>
    <xf numFmtId="0" fontId="4" fillId="0" borderId="0"/>
    <xf numFmtId="0" fontId="4" fillId="0" borderId="0"/>
    <xf numFmtId="39" fontId="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9" fontId="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9" fontId="42" fillId="0" borderId="0"/>
    <xf numFmtId="0" fontId="4" fillId="0" borderId="0"/>
    <xf numFmtId="39" fontId="42" fillId="0" borderId="0"/>
    <xf numFmtId="39" fontId="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9" fontId="42" fillId="0" borderId="0"/>
    <xf numFmtId="39" fontId="42" fillId="0" borderId="0"/>
    <xf numFmtId="39" fontId="42" fillId="0" borderId="0"/>
    <xf numFmtId="0" fontId="4" fillId="0" borderId="0"/>
    <xf numFmtId="0" fontId="4" fillId="0" borderId="0"/>
    <xf numFmtId="0" fontId="4" fillId="0" borderId="0"/>
    <xf numFmtId="39" fontId="42" fillId="0" borderId="0"/>
    <xf numFmtId="0" fontId="28" fillId="0" borderId="0"/>
    <xf numFmtId="0" fontId="4" fillId="0" borderId="0"/>
    <xf numFmtId="0" fontId="4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0" fontId="4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9" fontId="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9" fontId="42" fillId="0" borderId="0"/>
    <xf numFmtId="0" fontId="4" fillId="0" borderId="0"/>
    <xf numFmtId="39" fontId="42" fillId="0" borderId="0"/>
    <xf numFmtId="39" fontId="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0" fontId="4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0" fontId="4" fillId="0" borderId="0"/>
    <xf numFmtId="0" fontId="98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39" fontId="42" fillId="0" borderId="0"/>
    <xf numFmtId="0" fontId="4" fillId="0" borderId="0"/>
    <xf numFmtId="0" fontId="4" fillId="0" borderId="0"/>
    <xf numFmtId="0" fontId="4" fillId="0" borderId="0"/>
    <xf numFmtId="0" fontId="92" fillId="0" borderId="0"/>
    <xf numFmtId="0" fontId="4" fillId="0" borderId="0"/>
    <xf numFmtId="0" fontId="4" fillId="0" borderId="0"/>
    <xf numFmtId="0" fontId="92" fillId="0" borderId="0"/>
    <xf numFmtId="0" fontId="92" fillId="0" borderId="0"/>
    <xf numFmtId="39" fontId="42" fillId="0" borderId="0"/>
    <xf numFmtId="0" fontId="92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92" fillId="0" borderId="0"/>
    <xf numFmtId="0" fontId="4" fillId="0" borderId="0"/>
    <xf numFmtId="0" fontId="4" fillId="0" borderId="0"/>
    <xf numFmtId="0" fontId="4" fillId="0" borderId="0"/>
    <xf numFmtId="0" fontId="92" fillId="0" borderId="0"/>
    <xf numFmtId="0" fontId="4" fillId="0" borderId="0"/>
    <xf numFmtId="0" fontId="92" fillId="0" borderId="0"/>
    <xf numFmtId="0" fontId="4" fillId="0" borderId="0"/>
    <xf numFmtId="0" fontId="92" fillId="0" borderId="0"/>
    <xf numFmtId="0" fontId="92" fillId="0" borderId="0"/>
    <xf numFmtId="0" fontId="92" fillId="0" borderId="0"/>
    <xf numFmtId="0" fontId="4" fillId="0" borderId="0"/>
    <xf numFmtId="0" fontId="92" fillId="0" borderId="0"/>
    <xf numFmtId="0" fontId="92" fillId="0" borderId="0"/>
    <xf numFmtId="0" fontId="92" fillId="0" borderId="0"/>
    <xf numFmtId="0" fontId="4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2" fillId="0" borderId="0"/>
    <xf numFmtId="0" fontId="9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7" borderId="13" applyNumberFormat="0" applyFont="0" applyAlignment="0" applyProtection="0"/>
    <xf numFmtId="0" fontId="87" fillId="11" borderId="14" applyNumberFormat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89" fillId="0" borderId="16" applyNumberFormat="0" applyFill="0" applyAlignment="0" applyProtection="0"/>
    <xf numFmtId="44" fontId="9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5" fillId="0" borderId="0" applyNumberFormat="0" applyFill="0" applyBorder="0" applyAlignment="0" applyProtection="0"/>
    <xf numFmtId="0" fontId="4" fillId="0" borderId="0"/>
    <xf numFmtId="0" fontId="122" fillId="0" borderId="0" applyNumberFormat="0" applyFill="0" applyBorder="0" applyAlignment="0" applyProtection="0"/>
    <xf numFmtId="9" fontId="98" fillId="0" borderId="0" applyFont="0" applyFill="0" applyBorder="0" applyAlignment="0" applyProtection="0"/>
    <xf numFmtId="224" fontId="98" fillId="0" borderId="0" applyFont="0" applyFill="0" applyBorder="0" applyAlignment="0" applyProtection="0"/>
    <xf numFmtId="22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0" fontId="101" fillId="0" borderId="30" applyNumberFormat="0" applyFill="0" applyAlignment="0" applyProtection="0"/>
    <xf numFmtId="0" fontId="102" fillId="0" borderId="37" applyNumberFormat="0" applyFill="0" applyAlignment="0" applyProtection="0"/>
    <xf numFmtId="0" fontId="103" fillId="0" borderId="32" applyNumberFormat="0" applyFill="0" applyAlignment="0" applyProtection="0"/>
    <xf numFmtId="0" fontId="103" fillId="0" borderId="0" applyNumberFormat="0" applyFill="0" applyBorder="0" applyAlignment="0" applyProtection="0"/>
    <xf numFmtId="0" fontId="100" fillId="79" borderId="0" applyNumberFormat="0" applyBorder="0" applyAlignment="0" applyProtection="0"/>
    <xf numFmtId="0" fontId="94" fillId="80" borderId="0" applyNumberFormat="0" applyBorder="0" applyAlignment="0" applyProtection="0"/>
    <xf numFmtId="0" fontId="106" fillId="81" borderId="0" applyNumberFormat="0" applyBorder="0" applyAlignment="0" applyProtection="0"/>
    <xf numFmtId="0" fontId="104" fillId="82" borderId="28" applyNumberFormat="0" applyAlignment="0" applyProtection="0"/>
    <xf numFmtId="0" fontId="107" fillId="83" borderId="35" applyNumberFormat="0" applyAlignment="0" applyProtection="0"/>
    <xf numFmtId="0" fontId="95" fillId="83" borderId="28" applyNumberFormat="0" applyAlignment="0" applyProtection="0"/>
    <xf numFmtId="0" fontId="105" fillId="0" borderId="33" applyNumberFormat="0" applyFill="0" applyAlignment="0" applyProtection="0"/>
    <xf numFmtId="0" fontId="96" fillId="84" borderId="29" applyNumberFormat="0" applyAlignment="0" applyProtection="0"/>
    <xf numFmtId="0" fontId="110" fillId="0" borderId="0" applyNumberFormat="0" applyFill="0" applyBorder="0" applyAlignment="0" applyProtection="0"/>
    <xf numFmtId="0" fontId="92" fillId="77" borderId="34" applyNumberFormat="0" applyFont="0" applyAlignment="0" applyProtection="0"/>
    <xf numFmtId="0" fontId="99" fillId="0" borderId="0" applyNumberFormat="0" applyFill="0" applyBorder="0" applyAlignment="0" applyProtection="0"/>
    <xf numFmtId="0" fontId="109" fillId="0" borderId="36" applyNumberFormat="0" applyFill="0" applyAlignment="0" applyProtection="0"/>
    <xf numFmtId="0" fontId="93" fillId="78" borderId="0" applyNumberFormat="0" applyBorder="0" applyAlignment="0" applyProtection="0"/>
    <xf numFmtId="0" fontId="92" fillId="85" borderId="0" applyNumberFormat="0" applyBorder="0" applyAlignment="0" applyProtection="0"/>
    <xf numFmtId="0" fontId="92" fillId="86" borderId="0" applyNumberFormat="0" applyBorder="0" applyAlignment="0" applyProtection="0"/>
    <xf numFmtId="0" fontId="93" fillId="87" borderId="0" applyNumberFormat="0" applyBorder="0" applyAlignment="0" applyProtection="0"/>
    <xf numFmtId="0" fontId="93" fillId="76" borderId="0" applyNumberFormat="0" applyBorder="0" applyAlignment="0" applyProtection="0"/>
    <xf numFmtId="0" fontId="92" fillId="88" borderId="0" applyNumberFormat="0" applyBorder="0" applyAlignment="0" applyProtection="0"/>
    <xf numFmtId="0" fontId="92" fillId="89" borderId="0" applyNumberFormat="0" applyBorder="0" applyAlignment="0" applyProtection="0"/>
    <xf numFmtId="0" fontId="93" fillId="90" borderId="0" applyNumberFormat="0" applyBorder="0" applyAlignment="0" applyProtection="0"/>
    <xf numFmtId="0" fontId="93" fillId="91" borderId="0" applyNumberFormat="0" applyBorder="0" applyAlignment="0" applyProtection="0"/>
    <xf numFmtId="0" fontId="92" fillId="92" borderId="0" applyNumberFormat="0" applyBorder="0" applyAlignment="0" applyProtection="0"/>
    <xf numFmtId="0" fontId="92" fillId="93" borderId="0" applyNumberFormat="0" applyBorder="0" applyAlignment="0" applyProtection="0"/>
    <xf numFmtId="0" fontId="93" fillId="94" borderId="0" applyNumberFormat="0" applyBorder="0" applyAlignment="0" applyProtection="0"/>
    <xf numFmtId="0" fontId="93" fillId="95" borderId="0" applyNumberFormat="0" applyBorder="0" applyAlignment="0" applyProtection="0"/>
    <xf numFmtId="0" fontId="92" fillId="96" borderId="0" applyNumberFormat="0" applyBorder="0" applyAlignment="0" applyProtection="0"/>
    <xf numFmtId="0" fontId="92" fillId="97" borderId="0" applyNumberFormat="0" applyBorder="0" applyAlignment="0" applyProtection="0"/>
    <xf numFmtId="0" fontId="93" fillId="73" borderId="0" applyNumberFormat="0" applyBorder="0" applyAlignment="0" applyProtection="0"/>
    <xf numFmtId="0" fontId="93" fillId="98" borderId="0" applyNumberFormat="0" applyBorder="0" applyAlignment="0" applyProtection="0"/>
    <xf numFmtId="0" fontId="92" fillId="99" borderId="0" applyNumberFormat="0" applyBorder="0" applyAlignment="0" applyProtection="0"/>
    <xf numFmtId="0" fontId="92" fillId="100" borderId="0" applyNumberFormat="0" applyBorder="0" applyAlignment="0" applyProtection="0"/>
    <xf numFmtId="0" fontId="93" fillId="70" borderId="0" applyNumberFormat="0" applyBorder="0" applyAlignment="0" applyProtection="0"/>
    <xf numFmtId="0" fontId="93" fillId="74" borderId="0" applyNumberFormat="0" applyBorder="0" applyAlignment="0" applyProtection="0"/>
    <xf numFmtId="0" fontId="92" fillId="101" borderId="0" applyNumberFormat="0" applyBorder="0" applyAlignment="0" applyProtection="0"/>
    <xf numFmtId="0" fontId="92" fillId="102" borderId="0" applyNumberFormat="0" applyBorder="0" applyAlignment="0" applyProtection="0"/>
    <xf numFmtId="0" fontId="93" fillId="75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5" fillId="15" borderId="0" applyNumberFormat="0" applyBorder="0" applyAlignment="0" applyProtection="0"/>
    <xf numFmtId="0" fontId="75" fillId="10" borderId="0" applyNumberFormat="0" applyBorder="0" applyAlignment="0" applyProtection="0"/>
    <xf numFmtId="0" fontId="75" fillId="12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75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2" borderId="0" applyNumberFormat="0" applyBorder="0" applyAlignment="0" applyProtection="0"/>
    <xf numFmtId="0" fontId="75" fillId="18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75" fillId="21" borderId="0" applyNumberFormat="0" applyBorder="0" applyAlignment="0" applyProtection="0"/>
    <xf numFmtId="0" fontId="76" fillId="5" borderId="0" applyNumberFormat="0" applyBorder="0" applyAlignment="0" applyProtection="0"/>
    <xf numFmtId="0" fontId="78" fillId="23" borderId="3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16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2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6" borderId="0" applyNumberFormat="0" applyBorder="0" applyAlignment="0" applyProtection="0"/>
    <xf numFmtId="0" fontId="81" fillId="0" borderId="8" applyNumberFormat="0" applyFill="0" applyAlignment="0" applyProtection="0"/>
    <xf numFmtId="0" fontId="82" fillId="0" borderId="10" applyNumberFormat="0" applyFill="0" applyAlignment="0" applyProtection="0"/>
    <xf numFmtId="0" fontId="83" fillId="0" borderId="11" applyNumberFormat="0" applyFill="0" applyAlignment="0" applyProtection="0"/>
    <xf numFmtId="0" fontId="83" fillId="0" borderId="0" applyNumberFormat="0" applyFill="0" applyBorder="0" applyAlignment="0" applyProtection="0"/>
    <xf numFmtId="0" fontId="124" fillId="0" borderId="0" applyNumberFormat="0" applyFill="0" applyBorder="0" applyAlignment="0" applyProtection="0">
      <alignment vertical="top"/>
      <protection locked="0"/>
    </xf>
    <xf numFmtId="0" fontId="85" fillId="0" borderId="12" applyNumberFormat="0" applyFill="0" applyAlignment="0" applyProtection="0"/>
    <xf numFmtId="0" fontId="86" fillId="13" borderId="0" applyNumberFormat="0" applyBorder="0" applyAlignment="0" applyProtection="0"/>
    <xf numFmtId="0" fontId="92" fillId="0" borderId="0"/>
    <xf numFmtId="0" fontId="92" fillId="0" borderId="0"/>
    <xf numFmtId="0" fontId="4" fillId="0" borderId="0"/>
    <xf numFmtId="43" fontId="92" fillId="0" borderId="0" applyFont="0" applyFill="0" applyBorder="0" applyAlignment="0" applyProtection="0"/>
    <xf numFmtId="0" fontId="4" fillId="0" borderId="0"/>
    <xf numFmtId="0" fontId="4" fillId="0" borderId="0"/>
    <xf numFmtId="0" fontId="92" fillId="0" borderId="0"/>
    <xf numFmtId="43" fontId="92" fillId="0" borderId="0" applyFont="0" applyFill="0" applyBorder="0" applyAlignment="0" applyProtection="0"/>
    <xf numFmtId="0" fontId="9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92" fillId="0" borderId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0" fontId="4" fillId="0" borderId="0"/>
    <xf numFmtId="0" fontId="92" fillId="0" borderId="0"/>
    <xf numFmtId="0" fontId="92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3" fillId="0" borderId="0" applyFont="0" applyFill="0" applyBorder="0" applyAlignment="0" applyProtection="0"/>
    <xf numFmtId="0" fontId="8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43" fontId="92" fillId="0" borderId="0" applyFont="0" applyFill="0" applyBorder="0" applyAlignment="0" applyProtection="0"/>
    <xf numFmtId="224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125" fillId="0" borderId="0"/>
    <xf numFmtId="0" fontId="12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43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125" fillId="0" borderId="0"/>
    <xf numFmtId="0" fontId="125" fillId="0" borderId="0"/>
  </cellStyleXfs>
  <cellXfs count="253">
    <xf numFmtId="0" fontId="0" fillId="0" borderId="0" xfId="0"/>
    <xf numFmtId="0" fontId="0" fillId="0" borderId="0" xfId="0" applyAlignment="1">
      <alignment horizontal="left"/>
    </xf>
    <xf numFmtId="0" fontId="0" fillId="69" borderId="0" xfId="0" applyFill="1"/>
    <xf numFmtId="0" fontId="2" fillId="69" borderId="0" xfId="0" applyFont="1" applyFill="1" applyAlignment="1">
      <alignment horizontal="left"/>
    </xf>
    <xf numFmtId="0" fontId="3" fillId="70" borderId="19" xfId="0" applyFont="1" applyFill="1" applyBorder="1" applyAlignment="1">
      <alignment horizontal="left"/>
    </xf>
    <xf numFmtId="0" fontId="0" fillId="71" borderId="20" xfId="0" applyFill="1" applyBorder="1" applyAlignment="1">
      <alignment horizontal="left"/>
    </xf>
    <xf numFmtId="0" fontId="3" fillId="70" borderId="21" xfId="0" applyFont="1" applyFill="1" applyBorder="1" applyAlignment="1">
      <alignment horizontal="left"/>
    </xf>
    <xf numFmtId="0" fontId="0" fillId="71" borderId="0" xfId="0" applyFill="1" applyBorder="1"/>
    <xf numFmtId="0" fontId="0" fillId="71" borderId="15" xfId="0" applyFill="1" applyBorder="1" applyAlignment="1">
      <alignment horizontal="left"/>
    </xf>
    <xf numFmtId="0" fontId="0" fillId="71" borderId="15" xfId="0" applyFill="1" applyBorder="1"/>
    <xf numFmtId="0" fontId="111" fillId="71" borderId="0" xfId="0" applyFont="1" applyFill="1" applyBorder="1"/>
    <xf numFmtId="0" fontId="2" fillId="70" borderId="22" xfId="0" applyFont="1" applyFill="1" applyBorder="1" applyAlignment="1">
      <alignment horizontal="left"/>
    </xf>
    <xf numFmtId="0" fontId="0" fillId="71" borderId="23" xfId="0" applyFill="1" applyBorder="1"/>
    <xf numFmtId="0" fontId="2" fillId="70" borderId="19" xfId="0" applyFont="1" applyFill="1" applyBorder="1"/>
    <xf numFmtId="0" fontId="2" fillId="70" borderId="24" xfId="0" applyFont="1" applyFill="1" applyBorder="1"/>
    <xf numFmtId="0" fontId="2" fillId="71" borderId="24" xfId="0" applyFont="1" applyFill="1" applyBorder="1"/>
    <xf numFmtId="0" fontId="2" fillId="71" borderId="20" xfId="0" applyFont="1" applyFill="1" applyBorder="1"/>
    <xf numFmtId="0" fontId="0" fillId="0" borderId="25" xfId="0" applyBorder="1"/>
    <xf numFmtId="0" fontId="0" fillId="0" borderId="26" xfId="0" applyBorder="1"/>
    <xf numFmtId="0" fontId="112" fillId="0" borderId="0" xfId="0" applyFont="1" applyAlignment="1"/>
    <xf numFmtId="0" fontId="0" fillId="72" borderId="0" xfId="0" applyFill="1"/>
    <xf numFmtId="0" fontId="2" fillId="72" borderId="0" xfId="0" applyFont="1" applyFill="1" applyBorder="1"/>
    <xf numFmtId="0" fontId="2" fillId="72" borderId="0" xfId="0" applyFont="1" applyFill="1" applyBorder="1" applyAlignment="1">
      <alignment wrapText="1"/>
    </xf>
    <xf numFmtId="0" fontId="0" fillId="0" borderId="0" xfId="0" applyAlignment="1">
      <alignment horizontal="left" indent="1"/>
    </xf>
    <xf numFmtId="0" fontId="113" fillId="0" borderId="0" xfId="0" applyFont="1" applyAlignment="1">
      <alignment horizontal="left"/>
    </xf>
    <xf numFmtId="0" fontId="113" fillId="0" borderId="0" xfId="0" applyFont="1"/>
    <xf numFmtId="0" fontId="2" fillId="72" borderId="0" xfId="0" applyFont="1" applyFill="1" applyBorder="1" applyAlignment="1">
      <alignment vertical="top"/>
    </xf>
    <xf numFmtId="0" fontId="2" fillId="72" borderId="0" xfId="0" applyFont="1" applyFill="1" applyBorder="1" applyAlignment="1">
      <alignment vertical="top" wrapText="1"/>
    </xf>
    <xf numFmtId="0" fontId="0" fillId="72" borderId="0" xfId="0" applyFill="1" applyAlignment="1">
      <alignment vertical="top"/>
    </xf>
    <xf numFmtId="0" fontId="2" fillId="0" borderId="0" xfId="0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92" fillId="0" borderId="0" xfId="757" applyFont="1"/>
    <xf numFmtId="0" fontId="0" fillId="71" borderId="25" xfId="0" applyFill="1" applyBorder="1"/>
    <xf numFmtId="0" fontId="109" fillId="71" borderId="0" xfId="757" applyFont="1" applyFill="1"/>
    <xf numFmtId="0" fontId="112" fillId="71" borderId="0" xfId="0" applyFont="1" applyFill="1" applyAlignment="1"/>
    <xf numFmtId="0" fontId="0" fillId="71" borderId="0" xfId="0" applyFill="1"/>
    <xf numFmtId="0" fontId="0" fillId="71" borderId="26" xfId="0" applyFill="1" applyBorder="1"/>
    <xf numFmtId="0" fontId="0" fillId="72" borderId="25" xfId="0" applyFill="1" applyBorder="1"/>
    <xf numFmtId="0" fontId="109" fillId="72" borderId="0" xfId="757" applyFont="1" applyFill="1"/>
    <xf numFmtId="0" fontId="112" fillId="72" borderId="0" xfId="0" applyFont="1" applyFill="1" applyAlignment="1"/>
    <xf numFmtId="0" fontId="0" fillId="72" borderId="26" xfId="0" applyFill="1" applyBorder="1"/>
    <xf numFmtId="4" fontId="92" fillId="71" borderId="0" xfId="757" applyNumberFormat="1" applyFill="1"/>
    <xf numFmtId="0" fontId="0" fillId="0" borderId="0" xfId="0" applyFill="1" applyBorder="1"/>
    <xf numFmtId="0" fontId="92" fillId="0" borderId="0" xfId="757"/>
    <xf numFmtId="0" fontId="109" fillId="0" borderId="0" xfId="757" applyFont="1" applyFill="1"/>
    <xf numFmtId="0" fontId="112" fillId="0" borderId="0" xfId="0" applyFont="1" applyFill="1" applyAlignment="1"/>
    <xf numFmtId="0" fontId="0" fillId="0" borderId="0" xfId="0" applyFill="1"/>
    <xf numFmtId="4" fontId="92" fillId="0" borderId="0" xfId="757" applyNumberFormat="1" applyFill="1"/>
    <xf numFmtId="0" fontId="92" fillId="0" borderId="0" xfId="757" applyFill="1"/>
    <xf numFmtId="0" fontId="92" fillId="0" borderId="0" xfId="757"/>
    <xf numFmtId="0" fontId="92" fillId="0" borderId="0" xfId="757"/>
    <xf numFmtId="2" fontId="0" fillId="0" borderId="0" xfId="0" applyNumberFormat="1"/>
    <xf numFmtId="0" fontId="109" fillId="0" borderId="0" xfId="757" applyFont="1"/>
    <xf numFmtId="0" fontId="92" fillId="0" borderId="0" xfId="757" applyFont="1"/>
    <xf numFmtId="0" fontId="0" fillId="0" borderId="0" xfId="0" applyFill="1" applyAlignment="1">
      <alignment horizontal="right" vertical="center"/>
    </xf>
    <xf numFmtId="169" fontId="0" fillId="0" borderId="0" xfId="0" applyNumberFormat="1" applyFill="1" applyAlignment="1">
      <alignment horizontal="right" vertical="center"/>
    </xf>
    <xf numFmtId="168" fontId="0" fillId="0" borderId="0" xfId="0" applyNumberFormat="1" applyFill="1"/>
    <xf numFmtId="169" fontId="0" fillId="0" borderId="0" xfId="0" applyNumberFormat="1"/>
    <xf numFmtId="169" fontId="0" fillId="0" borderId="0" xfId="0" applyNumberFormat="1" applyFill="1"/>
    <xf numFmtId="169" fontId="91" fillId="0" borderId="0" xfId="103" applyNumberFormat="1" applyFont="1" applyFill="1"/>
    <xf numFmtId="168" fontId="91" fillId="0" borderId="0" xfId="103" applyFont="1"/>
    <xf numFmtId="169" fontId="111" fillId="0" borderId="0" xfId="0" applyNumberFormat="1" applyFont="1" applyFill="1"/>
    <xf numFmtId="213" fontId="91" fillId="0" borderId="0" xfId="103" applyNumberFormat="1" applyFont="1" applyFill="1"/>
    <xf numFmtId="213" fontId="91" fillId="0" borderId="0" xfId="103" applyNumberFormat="1" applyFont="1" applyFill="1"/>
    <xf numFmtId="2" fontId="0" fillId="0" borderId="0" xfId="0" applyNumberFormat="1" applyFill="1"/>
    <xf numFmtId="10" fontId="91" fillId="0" borderId="0" xfId="890" applyNumberFormat="1" applyFont="1" applyFill="1"/>
    <xf numFmtId="169" fontId="91" fillId="0" borderId="0" xfId="103" applyNumberFormat="1" applyFont="1" applyFill="1"/>
    <xf numFmtId="169" fontId="111" fillId="0" borderId="0" xfId="103" applyNumberFormat="1" applyFont="1" applyFill="1"/>
    <xf numFmtId="0" fontId="2" fillId="71" borderId="24" xfId="0" applyFont="1" applyFill="1" applyBorder="1" applyAlignment="1">
      <alignment horizontal="center" vertical="center"/>
    </xf>
    <xf numFmtId="168" fontId="91" fillId="0" borderId="0" xfId="103" applyFont="1" applyFill="1"/>
    <xf numFmtId="213" fontId="0" fillId="0" borderId="0" xfId="0" applyNumberFormat="1" applyFill="1"/>
    <xf numFmtId="214" fontId="0" fillId="0" borderId="0" xfId="0" applyNumberFormat="1" applyFill="1"/>
    <xf numFmtId="213" fontId="0" fillId="0" borderId="0" xfId="0" applyNumberFormat="1" applyFill="1" applyAlignment="1">
      <alignment horizontal="center"/>
    </xf>
    <xf numFmtId="213" fontId="113" fillId="0" borderId="0" xfId="0" applyNumberFormat="1" applyFont="1" applyFill="1" applyAlignment="1">
      <alignment horizontal="center"/>
    </xf>
    <xf numFmtId="168" fontId="91" fillId="0" borderId="0" xfId="103" applyNumberFormat="1" applyFont="1"/>
    <xf numFmtId="213" fontId="91" fillId="0" borderId="0" xfId="103" applyNumberFormat="1" applyFont="1"/>
    <xf numFmtId="169" fontId="114" fillId="0" borderId="0" xfId="103" applyNumberFormat="1" applyFont="1" applyFill="1" applyAlignment="1">
      <alignment horizontal="center" vertical="center"/>
    </xf>
    <xf numFmtId="169" fontId="114" fillId="0" borderId="0" xfId="0" applyNumberFormat="1" applyFont="1" applyFill="1" applyAlignment="1">
      <alignment horizontal="center" vertical="center"/>
    </xf>
    <xf numFmtId="215" fontId="0" fillId="0" borderId="0" xfId="0" applyNumberFormat="1"/>
    <xf numFmtId="169" fontId="111" fillId="0" borderId="0" xfId="103" applyNumberFormat="1" applyFont="1" applyFill="1" applyAlignment="1">
      <alignment horizontal="center" vertical="center"/>
    </xf>
    <xf numFmtId="0" fontId="115" fillId="0" borderId="0" xfId="0" applyFont="1" applyFill="1" applyAlignment="1"/>
    <xf numFmtId="169" fontId="113" fillId="0" borderId="0" xfId="0" applyNumberFormat="1" applyFont="1" applyAlignment="1">
      <alignment horizontal="center" vertical="center"/>
    </xf>
    <xf numFmtId="169" fontId="0" fillId="0" borderId="0" xfId="0" applyNumberFormat="1" applyFont="1" applyAlignment="1">
      <alignment horizontal="center" vertical="center"/>
    </xf>
    <xf numFmtId="169" fontId="0" fillId="0" borderId="0" xfId="0" applyNumberFormat="1" applyFont="1" applyFill="1" applyAlignment="1">
      <alignment horizontal="center" vertical="center"/>
    </xf>
    <xf numFmtId="169" fontId="111" fillId="0" borderId="0" xfId="0" applyNumberFormat="1" applyFont="1" applyFill="1" applyAlignment="1">
      <alignment horizontal="center" vertical="center"/>
    </xf>
    <xf numFmtId="169" fontId="91" fillId="0" borderId="0" xfId="103" applyNumberFormat="1" applyFont="1" applyFill="1" applyAlignment="1">
      <alignment horizontal="center" vertical="center"/>
    </xf>
    <xf numFmtId="169" fontId="0" fillId="0" borderId="0" xfId="0" applyNumberFormat="1" applyFill="1" applyAlignment="1">
      <alignment horizontal="center" vertical="center"/>
    </xf>
    <xf numFmtId="0" fontId="2" fillId="70" borderId="21" xfId="0" applyFont="1" applyFill="1" applyBorder="1"/>
    <xf numFmtId="0" fontId="2" fillId="70" borderId="0" xfId="0" applyFont="1" applyFill="1" applyBorder="1"/>
    <xf numFmtId="0" fontId="2" fillId="71" borderId="0" xfId="0" applyFont="1" applyFill="1" applyBorder="1"/>
    <xf numFmtId="0" fontId="2" fillId="71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111" fillId="0" borderId="0" xfId="0" applyFont="1" applyFill="1" applyBorder="1"/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213" fontId="91" fillId="0" borderId="0" xfId="103" applyNumberFormat="1" applyFont="1" applyFill="1" applyAlignment="1">
      <alignment horizontal="right"/>
    </xf>
    <xf numFmtId="169" fontId="0" fillId="0" borderId="0" xfId="0" applyNumberFormat="1" applyFill="1" applyAlignment="1">
      <alignment horizontal="right"/>
    </xf>
    <xf numFmtId="2" fontId="114" fillId="0" borderId="0" xfId="0" applyNumberFormat="1" applyFont="1" applyFill="1" applyAlignment="1">
      <alignment horizontal="center" vertical="center"/>
    </xf>
    <xf numFmtId="169" fontId="113" fillId="0" borderId="0" xfId="0" applyNumberFormat="1" applyFont="1" applyFill="1"/>
    <xf numFmtId="213" fontId="113" fillId="0" borderId="0" xfId="0" applyNumberFormat="1" applyFont="1" applyFill="1"/>
    <xf numFmtId="169" fontId="113" fillId="0" borderId="0" xfId="0" applyNumberFormat="1" applyFont="1"/>
    <xf numFmtId="4" fontId="109" fillId="0" borderId="0" xfId="757" applyNumberFormat="1" applyFont="1"/>
    <xf numFmtId="2" fontId="0" fillId="0" borderId="0" xfId="0" applyNumberFormat="1" applyAlignment="1">
      <alignment horizontal="center" vertical="center"/>
    </xf>
    <xf numFmtId="0" fontId="92" fillId="0" borderId="0" xfId="757" applyFont="1" applyFill="1"/>
    <xf numFmtId="0" fontId="0" fillId="0" borderId="0" xfId="0" applyFill="1" applyBorder="1" applyAlignment="1">
      <alignment horizontal="center"/>
    </xf>
    <xf numFmtId="169" fontId="91" fillId="0" borderId="0" xfId="103" applyNumberFormat="1" applyFont="1" applyFill="1" applyAlignment="1">
      <alignment horizontal="center"/>
    </xf>
    <xf numFmtId="169" fontId="91" fillId="0" borderId="0" xfId="103" applyNumberFormat="1" applyFont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169" fontId="91" fillId="0" borderId="0" xfId="103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69" fontId="91" fillId="0" borderId="0" xfId="103" applyNumberFormat="1" applyFont="1" applyAlignment="1">
      <alignment horizontal="center"/>
    </xf>
    <xf numFmtId="169" fontId="113" fillId="0" borderId="0" xfId="0" applyNumberFormat="1" applyFont="1" applyFill="1" applyAlignment="1">
      <alignment horizontal="center" vertical="center"/>
    </xf>
    <xf numFmtId="169" fontId="113" fillId="0" borderId="0" xfId="103" applyNumberFormat="1" applyFont="1" applyFill="1" applyAlignment="1">
      <alignment horizontal="center" vertical="center"/>
    </xf>
    <xf numFmtId="169" fontId="0" fillId="0" borderId="0" xfId="0" applyNumberFormat="1" applyAlignment="1">
      <alignment horizontal="center"/>
    </xf>
    <xf numFmtId="0" fontId="0" fillId="0" borderId="0" xfId="0" applyFill="1" applyAlignment="1">
      <alignment horizontal="center" vertical="center"/>
    </xf>
    <xf numFmtId="0" fontId="113" fillId="0" borderId="0" xfId="0" applyFont="1" applyFill="1"/>
    <xf numFmtId="2" fontId="111" fillId="0" borderId="0" xfId="0" applyNumberFormat="1" applyFont="1" applyFill="1" applyAlignment="1">
      <alignment horizontal="center" vertical="center"/>
    </xf>
    <xf numFmtId="0" fontId="111" fillId="0" borderId="0" xfId="0" applyFont="1" applyFill="1"/>
    <xf numFmtId="168" fontId="111" fillId="0" borderId="0" xfId="103" applyFont="1" applyFill="1" applyAlignment="1">
      <alignment horizontal="left" vertical="center"/>
    </xf>
    <xf numFmtId="168" fontId="91" fillId="0" borderId="0" xfId="103" applyFont="1" applyAlignment="1">
      <alignment horizontal="left" vertical="center"/>
    </xf>
    <xf numFmtId="0" fontId="111" fillId="71" borderId="0" xfId="0" applyFont="1" applyFill="1" applyBorder="1" applyAlignment="1">
      <alignment horizontal="left" vertical="center"/>
    </xf>
    <xf numFmtId="0" fontId="0" fillId="71" borderId="0" xfId="0" applyFill="1" applyBorder="1" applyAlignment="1">
      <alignment horizontal="left" vertical="center"/>
    </xf>
    <xf numFmtId="0" fontId="0" fillId="71" borderId="24" xfId="0" applyFill="1" applyBorder="1" applyAlignment="1">
      <alignment horizontal="left" vertical="center"/>
    </xf>
    <xf numFmtId="0" fontId="0" fillId="71" borderId="27" xfId="0" applyFill="1" applyBorder="1" applyAlignment="1">
      <alignment horizontal="left" vertical="center"/>
    </xf>
    <xf numFmtId="168" fontId="113" fillId="0" borderId="0" xfId="103" applyFont="1" applyFill="1"/>
    <xf numFmtId="0" fontId="113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0" fontId="113" fillId="0" borderId="0" xfId="0" applyFont="1" applyFill="1" applyAlignment="1">
      <alignment horizontal="left"/>
    </xf>
    <xf numFmtId="169" fontId="114" fillId="0" borderId="0" xfId="0" applyNumberFormat="1" applyFont="1" applyFill="1"/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213" fontId="0" fillId="0" borderId="0" xfId="0" applyNumberFormat="1"/>
    <xf numFmtId="213" fontId="0" fillId="71" borderId="0" xfId="0" applyNumberFormat="1" applyFill="1"/>
    <xf numFmtId="213" fontId="0" fillId="69" borderId="0" xfId="0" applyNumberFormat="1" applyFill="1"/>
    <xf numFmtId="213" fontId="113" fillId="0" borderId="0" xfId="0" applyNumberFormat="1" applyFont="1"/>
    <xf numFmtId="168" fontId="0" fillId="0" borderId="0" xfId="0" applyNumberFormat="1"/>
    <xf numFmtId="220" fontId="0" fillId="0" borderId="0" xfId="0" applyNumberFormat="1"/>
    <xf numFmtId="221" fontId="0" fillId="0" borderId="0" xfId="0" applyNumberFormat="1"/>
    <xf numFmtId="222" fontId="0" fillId="0" borderId="0" xfId="0" applyNumberFormat="1"/>
    <xf numFmtId="169" fontId="111" fillId="71" borderId="0" xfId="103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16" fillId="0" borderId="0" xfId="0" applyFont="1" applyAlignment="1">
      <alignment horizontal="left" vertical="center" indent="1"/>
    </xf>
    <xf numFmtId="0" fontId="117" fillId="0" borderId="0" xfId="0" applyFont="1" applyAlignment="1">
      <alignment horizontal="left" vertical="center"/>
    </xf>
    <xf numFmtId="213" fontId="91" fillId="0" borderId="0" xfId="103" applyNumberFormat="1" applyFont="1" applyAlignment="1">
      <alignment horizontal="center" vertical="center"/>
    </xf>
    <xf numFmtId="0" fontId="92" fillId="0" borderId="0" xfId="757" applyFont="1" applyFill="1"/>
    <xf numFmtId="0" fontId="92" fillId="0" borderId="0" xfId="757" applyFont="1"/>
    <xf numFmtId="0" fontId="118" fillId="0" borderId="0" xfId="0" applyFont="1"/>
    <xf numFmtId="169" fontId="92" fillId="0" borderId="0" xfId="757" applyNumberFormat="1" applyAlignment="1">
      <alignment horizontal="center" vertical="center"/>
    </xf>
    <xf numFmtId="0" fontId="110" fillId="69" borderId="0" xfId="0" applyFont="1" applyFill="1"/>
    <xf numFmtId="0" fontId="110" fillId="0" borderId="0" xfId="0" applyFont="1"/>
    <xf numFmtId="0" fontId="0" fillId="71" borderId="0" xfId="0" applyFill="1" applyBorder="1" applyAlignment="1">
      <alignment horizontal="right"/>
    </xf>
    <xf numFmtId="0" fontId="111" fillId="71" borderId="0" xfId="0" applyFont="1" applyFill="1" applyBorder="1" applyAlignment="1">
      <alignment horizontal="right"/>
    </xf>
    <xf numFmtId="0" fontId="0" fillId="71" borderId="24" xfId="0" applyFill="1" applyBorder="1" applyAlignment="1">
      <alignment horizontal="right"/>
    </xf>
    <xf numFmtId="0" fontId="0" fillId="71" borderId="27" xfId="0" applyFill="1" applyBorder="1" applyAlignment="1">
      <alignment horizontal="right"/>
    </xf>
    <xf numFmtId="0" fontId="0" fillId="69" borderId="0" xfId="0" applyFill="1" applyAlignment="1">
      <alignment horizontal="right"/>
    </xf>
    <xf numFmtId="0" fontId="2" fillId="70" borderId="24" xfId="0" applyFont="1" applyFill="1" applyBorder="1" applyAlignment="1">
      <alignment horizontal="right"/>
    </xf>
    <xf numFmtId="0" fontId="2" fillId="72" borderId="0" xfId="0" applyFont="1" applyFill="1" applyBorder="1" applyAlignment="1">
      <alignment horizontal="right" wrapText="1"/>
    </xf>
    <xf numFmtId="0" fontId="113" fillId="0" borderId="0" xfId="0" applyFont="1" applyAlignment="1">
      <alignment horizontal="right"/>
    </xf>
    <xf numFmtId="0" fontId="109" fillId="71" borderId="0" xfId="757" applyFont="1" applyFill="1" applyAlignment="1">
      <alignment horizontal="right"/>
    </xf>
    <xf numFmtId="0" fontId="109" fillId="72" borderId="0" xfId="757" applyFont="1" applyFill="1" applyAlignment="1">
      <alignment horizontal="right"/>
    </xf>
    <xf numFmtId="0" fontId="109" fillId="0" borderId="0" xfId="757" applyFont="1" applyAlignment="1">
      <alignment horizontal="right"/>
    </xf>
    <xf numFmtId="0" fontId="92" fillId="0" borderId="0" xfId="757" applyFont="1" applyAlignment="1">
      <alignment horizontal="right"/>
    </xf>
    <xf numFmtId="0" fontId="92" fillId="0" borderId="0" xfId="757" applyFont="1" applyAlignment="1">
      <alignment horizontal="right"/>
    </xf>
    <xf numFmtId="0" fontId="92" fillId="0" borderId="0" xfId="757" applyFont="1" applyAlignment="1">
      <alignment horizontal="right"/>
    </xf>
    <xf numFmtId="0" fontId="92" fillId="0" borderId="0" xfId="757" applyFont="1" applyFill="1" applyAlignment="1">
      <alignment horizontal="right"/>
    </xf>
    <xf numFmtId="0" fontId="92" fillId="0" borderId="0" xfId="757" applyFont="1" applyAlignment="1">
      <alignment horizontal="right"/>
    </xf>
    <xf numFmtId="0" fontId="0" fillId="0" borderId="0" xfId="0" applyAlignment="1">
      <alignment horizontal="right"/>
    </xf>
    <xf numFmtId="0" fontId="109" fillId="0" borderId="0" xfId="757" applyFont="1" applyFill="1" applyAlignment="1">
      <alignment horizontal="right"/>
    </xf>
    <xf numFmtId="0" fontId="92" fillId="0" borderId="0" xfId="757" applyFill="1" applyAlignment="1">
      <alignment horizontal="right"/>
    </xf>
    <xf numFmtId="0" fontId="92" fillId="0" borderId="0" xfId="757" applyAlignment="1">
      <alignment horizontal="right"/>
    </xf>
    <xf numFmtId="213" fontId="111" fillId="0" borderId="0" xfId="103" applyNumberFormat="1" applyFont="1" applyFill="1"/>
    <xf numFmtId="0" fontId="111" fillId="0" borderId="0" xfId="0" applyFont="1"/>
    <xf numFmtId="169" fontId="111" fillId="0" borderId="0" xfId="757" applyNumberFormat="1" applyFont="1" applyAlignment="1">
      <alignment horizontal="center" vertical="center"/>
    </xf>
    <xf numFmtId="213" fontId="0" fillId="0" borderId="0" xfId="0" applyNumberFormat="1" applyFill="1" applyAlignment="1">
      <alignment vertical="center"/>
    </xf>
    <xf numFmtId="0" fontId="111" fillId="69" borderId="0" xfId="0" applyFont="1" applyFill="1"/>
    <xf numFmtId="169" fontId="91" fillId="0" borderId="0" xfId="103" applyNumberFormat="1" applyFont="1" applyFill="1" applyAlignment="1">
      <alignment vertical="center"/>
    </xf>
    <xf numFmtId="213" fontId="111" fillId="0" borderId="0" xfId="0" applyNumberFormat="1" applyFont="1" applyFill="1" applyAlignment="1">
      <alignment vertical="center"/>
    </xf>
    <xf numFmtId="169" fontId="111" fillId="0" borderId="0" xfId="0" applyNumberFormat="1" applyFont="1" applyFill="1" applyAlignment="1">
      <alignment vertical="center"/>
    </xf>
    <xf numFmtId="169" fontId="111" fillId="0" borderId="0" xfId="103" applyNumberFormat="1" applyFont="1" applyFill="1" applyAlignment="1">
      <alignment vertical="center"/>
    </xf>
    <xf numFmtId="213" fontId="111" fillId="0" borderId="0" xfId="0" applyNumberFormat="1" applyFont="1" applyFill="1"/>
    <xf numFmtId="213" fontId="111" fillId="0" borderId="0" xfId="103" applyNumberFormat="1" applyFont="1" applyFill="1" applyAlignment="1">
      <alignment horizontal="center" vertical="center"/>
    </xf>
    <xf numFmtId="0" fontId="111" fillId="71" borderId="0" xfId="0" applyFont="1" applyFill="1"/>
    <xf numFmtId="0" fontId="114" fillId="0" borderId="0" xfId="0" applyFont="1"/>
    <xf numFmtId="169" fontId="111" fillId="0" borderId="0" xfId="757" applyNumberFormat="1" applyFont="1" applyFill="1" applyAlignment="1">
      <alignment horizontal="center" vertical="center"/>
    </xf>
    <xf numFmtId="0" fontId="119" fillId="69" borderId="0" xfId="0" applyFont="1" applyFill="1"/>
    <xf numFmtId="0" fontId="119" fillId="69" borderId="0" xfId="0" applyFont="1" applyFill="1" applyAlignment="1"/>
    <xf numFmtId="0" fontId="119" fillId="0" borderId="0" xfId="0" applyFont="1"/>
    <xf numFmtId="0" fontId="119" fillId="0" borderId="0" xfId="0" applyFont="1" applyAlignment="1"/>
    <xf numFmtId="4" fontId="119" fillId="71" borderId="0" xfId="757" applyNumberFormat="1" applyFont="1" applyFill="1"/>
    <xf numFmtId="0" fontId="119" fillId="71" borderId="0" xfId="0" applyFont="1" applyFill="1"/>
    <xf numFmtId="0" fontId="119" fillId="71" borderId="0" xfId="0" applyFont="1" applyFill="1" applyAlignment="1"/>
    <xf numFmtId="0" fontId="119" fillId="0" borderId="0" xfId="757" applyFont="1" applyFill="1"/>
    <xf numFmtId="0" fontId="120" fillId="0" borderId="0" xfId="757" applyFont="1" applyFill="1"/>
    <xf numFmtId="0" fontId="120" fillId="0" borderId="0" xfId="0" applyFont="1"/>
    <xf numFmtId="0" fontId="120" fillId="0" borderId="0" xfId="0" applyFont="1" applyAlignment="1"/>
    <xf numFmtId="0" fontId="111" fillId="69" borderId="0" xfId="0" applyFont="1" applyFill="1" applyAlignment="1"/>
    <xf numFmtId="168" fontId="119" fillId="0" borderId="0" xfId="103" applyFont="1"/>
    <xf numFmtId="0" fontId="2" fillId="71" borderId="24" xfId="0" applyFont="1" applyFill="1" applyBorder="1" applyAlignment="1">
      <alignment horizontal="center"/>
    </xf>
    <xf numFmtId="0" fontId="2" fillId="70" borderId="19" xfId="0" applyFont="1" applyFill="1" applyBorder="1" applyAlignment="1">
      <alignment horizontal="left" vertical="center"/>
    </xf>
    <xf numFmtId="0" fontId="2" fillId="70" borderId="24" xfId="0" applyFont="1" applyFill="1" applyBorder="1" applyAlignment="1">
      <alignment horizontal="left" vertical="center"/>
    </xf>
    <xf numFmtId="169" fontId="114" fillId="0" borderId="0" xfId="757" applyNumberFormat="1" applyFont="1" applyFill="1" applyAlignment="1">
      <alignment horizontal="center" vertical="center"/>
    </xf>
    <xf numFmtId="169" fontId="0" fillId="0" borderId="0" xfId="103" applyNumberFormat="1" applyFont="1" applyFill="1" applyAlignment="1">
      <alignment horizontal="center" vertical="center"/>
    </xf>
    <xf numFmtId="169" fontId="0" fillId="0" borderId="0" xfId="103" applyNumberFormat="1" applyFont="1" applyAlignment="1">
      <alignment horizontal="center" vertical="center"/>
    </xf>
    <xf numFmtId="169" fontId="113" fillId="72" borderId="0" xfId="103" applyNumberFormat="1" applyFont="1" applyFill="1" applyAlignment="1">
      <alignment horizontal="center" vertical="center"/>
    </xf>
    <xf numFmtId="169" fontId="113" fillId="71" borderId="0" xfId="103" applyNumberFormat="1" applyFont="1" applyFill="1" applyAlignment="1">
      <alignment horizontal="center" vertical="center"/>
    </xf>
    <xf numFmtId="169" fontId="113" fillId="72" borderId="0" xfId="0" applyNumberFormat="1" applyFont="1" applyFill="1" applyAlignment="1">
      <alignment horizontal="center" vertical="center"/>
    </xf>
    <xf numFmtId="169" fontId="114" fillId="0" borderId="0" xfId="757" applyNumberFormat="1" applyFont="1" applyAlignment="1">
      <alignment horizontal="center" vertical="center"/>
    </xf>
    <xf numFmtId="169" fontId="92" fillId="0" borderId="0" xfId="757" applyNumberFormat="1" applyFill="1" applyAlignment="1">
      <alignment horizontal="center" vertical="center"/>
    </xf>
    <xf numFmtId="169" fontId="2" fillId="71" borderId="24" xfId="0" applyNumberFormat="1" applyFont="1" applyFill="1" applyBorder="1" applyAlignment="1">
      <alignment horizontal="center" vertical="center"/>
    </xf>
    <xf numFmtId="169" fontId="2" fillId="71" borderId="24" xfId="103" applyNumberFormat="1" applyFont="1" applyFill="1" applyBorder="1" applyAlignment="1">
      <alignment horizontal="center" vertical="center"/>
    </xf>
    <xf numFmtId="169" fontId="2" fillId="72" borderId="0" xfId="0" applyNumberFormat="1" applyFont="1" applyFill="1" applyBorder="1" applyAlignment="1">
      <alignment horizontal="center" vertical="center"/>
    </xf>
    <xf numFmtId="169" fontId="111" fillId="0" borderId="0" xfId="0" applyNumberFormat="1" applyFont="1" applyAlignment="1">
      <alignment horizontal="center" vertical="center"/>
    </xf>
    <xf numFmtId="169" fontId="114" fillId="71" borderId="0" xfId="103" applyNumberFormat="1" applyFont="1" applyFill="1" applyAlignment="1">
      <alignment horizontal="center" vertical="center"/>
    </xf>
    <xf numFmtId="169" fontId="111" fillId="0" borderId="0" xfId="103" applyNumberFormat="1" applyFont="1" applyAlignment="1">
      <alignment horizontal="center" vertical="center"/>
    </xf>
    <xf numFmtId="169" fontId="92" fillId="0" borderId="0" xfId="103" applyNumberFormat="1" applyFont="1" applyAlignment="1">
      <alignment horizontal="center" vertical="center"/>
    </xf>
    <xf numFmtId="169" fontId="92" fillId="0" borderId="0" xfId="103" applyNumberFormat="1" applyFont="1" applyFill="1" applyAlignment="1">
      <alignment horizontal="center" vertical="center"/>
    </xf>
    <xf numFmtId="169" fontId="0" fillId="71" borderId="0" xfId="0" applyNumberFormat="1" applyFill="1" applyAlignment="1">
      <alignment horizontal="center" vertical="center"/>
    </xf>
    <xf numFmtId="169" fontId="91" fillId="71" borderId="0" xfId="103" applyNumberFormat="1" applyFont="1" applyFill="1" applyAlignment="1">
      <alignment horizontal="center" vertical="center"/>
    </xf>
    <xf numFmtId="169" fontId="92" fillId="71" borderId="0" xfId="757" applyNumberFormat="1" applyFill="1" applyAlignment="1">
      <alignment horizontal="center" vertical="center"/>
    </xf>
    <xf numFmtId="169" fontId="119" fillId="71" borderId="0" xfId="757" applyNumberFormat="1" applyFont="1" applyFill="1" applyAlignment="1">
      <alignment horizontal="center" vertical="center"/>
    </xf>
    <xf numFmtId="169" fontId="119" fillId="71" borderId="0" xfId="0" applyNumberFormat="1" applyFont="1" applyFill="1" applyAlignment="1">
      <alignment horizontal="center" vertical="center"/>
    </xf>
    <xf numFmtId="169" fontId="111" fillId="71" borderId="0" xfId="0" applyNumberFormat="1" applyFont="1" applyFill="1" applyAlignment="1">
      <alignment horizontal="center" vertical="center"/>
    </xf>
    <xf numFmtId="169" fontId="121" fillId="71" borderId="0" xfId="0" applyNumberFormat="1" applyFont="1" applyFill="1" applyAlignment="1">
      <alignment horizontal="center" vertical="center"/>
    </xf>
    <xf numFmtId="169" fontId="114" fillId="72" borderId="0" xfId="103" applyNumberFormat="1" applyFont="1" applyFill="1" applyAlignment="1">
      <alignment horizontal="center" vertical="center"/>
    </xf>
    <xf numFmtId="169" fontId="109" fillId="0" borderId="0" xfId="103" applyNumberFormat="1" applyFont="1" applyAlignment="1">
      <alignment horizontal="center" vertical="center"/>
    </xf>
    <xf numFmtId="169" fontId="114" fillId="0" borderId="0" xfId="103" applyNumberFormat="1" applyFont="1" applyAlignment="1">
      <alignment horizontal="center" vertical="center"/>
    </xf>
    <xf numFmtId="0" fontId="115" fillId="72" borderId="0" xfId="0" applyFont="1" applyFill="1" applyAlignment="1"/>
    <xf numFmtId="0" fontId="115" fillId="71" borderId="0" xfId="0" applyFont="1" applyFill="1" applyAlignment="1"/>
    <xf numFmtId="169" fontId="114" fillId="0" borderId="0" xfId="0" applyNumberFormat="1" applyFont="1" applyAlignment="1">
      <alignment horizontal="center" vertical="center"/>
    </xf>
    <xf numFmtId="169" fontId="109" fillId="0" borderId="0" xfId="757" applyNumberFormat="1" applyFont="1" applyAlignment="1">
      <alignment horizontal="center" vertical="center"/>
    </xf>
    <xf numFmtId="0" fontId="0" fillId="0" borderId="0" xfId="0" applyFill="1" applyAlignment="1">
      <alignment horizontal="right"/>
    </xf>
    <xf numFmtId="168" fontId="0" fillId="0" borderId="0" xfId="0" applyNumberFormat="1" applyFill="1" applyBorder="1"/>
    <xf numFmtId="168" fontId="0" fillId="0" borderId="0" xfId="103" applyFont="1" applyFill="1" applyBorder="1"/>
    <xf numFmtId="43" fontId="0" fillId="0" borderId="0" xfId="0" applyNumberFormat="1" applyFill="1" applyBorder="1"/>
    <xf numFmtId="168" fontId="113" fillId="0" borderId="0" xfId="103" applyFont="1" applyFill="1" applyBorder="1"/>
    <xf numFmtId="169" fontId="0" fillId="0" borderId="0" xfId="0" applyNumberFormat="1" applyFill="1" applyAlignment="1">
      <alignment horizontal="center"/>
    </xf>
    <xf numFmtId="213" fontId="0" fillId="0" borderId="0" xfId="108" applyNumberFormat="1" applyFon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169" fontId="111" fillId="0" borderId="0" xfId="0" applyNumberFormat="1" applyFont="1" applyFill="1" applyAlignment="1">
      <alignment horizontal="center"/>
    </xf>
    <xf numFmtId="43" fontId="0" fillId="0" borderId="0" xfId="0" applyNumberFormat="1"/>
    <xf numFmtId="44" fontId="0" fillId="0" borderId="0" xfId="0" applyNumberFormat="1" applyFill="1" applyBorder="1"/>
    <xf numFmtId="43" fontId="118" fillId="0" borderId="0" xfId="0" applyNumberFormat="1" applyFont="1"/>
    <xf numFmtId="213" fontId="0" fillId="0" borderId="0" xfId="103" applyNumberFormat="1" applyFont="1"/>
    <xf numFmtId="168" fontId="118" fillId="0" borderId="0" xfId="103" applyFont="1"/>
    <xf numFmtId="168" fontId="118" fillId="0" borderId="0" xfId="103" applyFont="1" applyAlignment="1">
      <alignment vertical="center"/>
    </xf>
    <xf numFmtId="169" fontId="118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/>
    <xf numFmtId="168" fontId="0" fillId="0" borderId="0" xfId="103" applyFont="1" applyFill="1"/>
    <xf numFmtId="43" fontId="113" fillId="0" borderId="0" xfId="0" applyNumberFormat="1" applyFont="1" applyFill="1"/>
    <xf numFmtId="0" fontId="2" fillId="71" borderId="20" xfId="0" applyFont="1" applyFill="1" applyBorder="1" applyAlignment="1">
      <alignment horizontal="center" vertical="center"/>
    </xf>
    <xf numFmtId="0" fontId="111" fillId="0" borderId="0" xfId="0" applyFont="1" applyAlignment="1">
      <alignment horizontal="center" vertical="center"/>
    </xf>
  </cellXfs>
  <cellStyles count="2242">
    <cellStyle name="1 indent" xfId="1"/>
    <cellStyle name="2 indents" xfId="2"/>
    <cellStyle name="20% - Accent1" xfId="3" builtinId="30" customBuiltin="1"/>
    <cellStyle name="20% - Accent1 2" xfId="4"/>
    <cellStyle name="20% - Accent1 2 2" xfId="2050"/>
    <cellStyle name="20% - Accent1 2 3" xfId="2049"/>
    <cellStyle name="20% - Accent1 2 4" xfId="2026"/>
    <cellStyle name="20% - Accent2" xfId="5" builtinId="34" customBuiltin="1"/>
    <cellStyle name="20% - Accent2 2" xfId="6"/>
    <cellStyle name="20% - Accent2 2 2" xfId="2052"/>
    <cellStyle name="20% - Accent2 2 3" xfId="2051"/>
    <cellStyle name="20% - Accent2 2 4" xfId="2030"/>
    <cellStyle name="20% - Accent3" xfId="7" builtinId="38" customBuiltin="1"/>
    <cellStyle name="20% - Accent3 2" xfId="8"/>
    <cellStyle name="20% - Accent3 2 2" xfId="2054"/>
    <cellStyle name="20% - Accent3 2 3" xfId="2053"/>
    <cellStyle name="20% - Accent3 2 4" xfId="2034"/>
    <cellStyle name="20% - Accent4" xfId="9" builtinId="42" customBuiltin="1"/>
    <cellStyle name="20% - Accent4 2" xfId="10"/>
    <cellStyle name="20% - Accent4 2 2" xfId="2056"/>
    <cellStyle name="20% - Accent4 2 3" xfId="2055"/>
    <cellStyle name="20% - Accent4 2 4" xfId="2038"/>
    <cellStyle name="20% - Accent5" xfId="11" builtinId="46" customBuiltin="1"/>
    <cellStyle name="20% - Accent5 2" xfId="12"/>
    <cellStyle name="20% - Accent5 2 2" xfId="2058"/>
    <cellStyle name="20% - Accent5 2 3" xfId="2057"/>
    <cellStyle name="20% - Accent5 2 4" xfId="2042"/>
    <cellStyle name="20% - Accent6" xfId="13" builtinId="50" customBuiltin="1"/>
    <cellStyle name="20% - Accent6 2" xfId="14"/>
    <cellStyle name="20% - Accent6 2 2" xfId="2060"/>
    <cellStyle name="20% - Accent6 2 3" xfId="2059"/>
    <cellStyle name="20% - Accent6 2 4" xfId="2046"/>
    <cellStyle name="3 indents" xfId="15"/>
    <cellStyle name="4 indents" xfId="16"/>
    <cellStyle name="40% - Accent1" xfId="17" builtinId="31" customBuiltin="1"/>
    <cellStyle name="40% - Accent1 2" xfId="18"/>
    <cellStyle name="40% - Accent1 2 2" xfId="2062"/>
    <cellStyle name="40% - Accent1 2 3" xfId="2061"/>
    <cellStyle name="40% - Accent1 2 4" xfId="2027"/>
    <cellStyle name="40% - Accent2" xfId="19" builtinId="35" customBuiltin="1"/>
    <cellStyle name="40% - Accent2 2" xfId="20"/>
    <cellStyle name="40% - Accent2 2 2" xfId="2064"/>
    <cellStyle name="40% - Accent2 2 3" xfId="2063"/>
    <cellStyle name="40% - Accent2 2 4" xfId="2031"/>
    <cellStyle name="40% - Accent3" xfId="21" builtinId="39" customBuiltin="1"/>
    <cellStyle name="40% - Accent3 2" xfId="22"/>
    <cellStyle name="40% - Accent3 2 2" xfId="2066"/>
    <cellStyle name="40% - Accent3 2 3" xfId="2065"/>
    <cellStyle name="40% - Accent3 2 4" xfId="2035"/>
    <cellStyle name="40% - Accent4" xfId="23" builtinId="43" customBuiltin="1"/>
    <cellStyle name="40% - Accent4 2" xfId="24"/>
    <cellStyle name="40% - Accent4 2 2" xfId="2068"/>
    <cellStyle name="40% - Accent4 2 3" xfId="2067"/>
    <cellStyle name="40% - Accent4 2 4" xfId="2039"/>
    <cellStyle name="40% - Accent5" xfId="25" builtinId="47" customBuiltin="1"/>
    <cellStyle name="40% - Accent5 2" xfId="26"/>
    <cellStyle name="40% - Accent5 2 2" xfId="2070"/>
    <cellStyle name="40% - Accent5 2 3" xfId="2069"/>
    <cellStyle name="40% - Accent5 2 4" xfId="2043"/>
    <cellStyle name="40% - Accent6" xfId="27" builtinId="51" customBuiltin="1"/>
    <cellStyle name="40% - Accent6 2" xfId="28"/>
    <cellStyle name="40% - Accent6 2 2" xfId="2072"/>
    <cellStyle name="40% - Accent6 2 3" xfId="2071"/>
    <cellStyle name="40% - Accent6 2 4" xfId="2047"/>
    <cellStyle name="5 indents" xfId="29"/>
    <cellStyle name="60% - Accent1" xfId="30" builtinId="32" customBuiltin="1"/>
    <cellStyle name="60% - Accent1 2" xfId="31"/>
    <cellStyle name="60% - Accent1 2 2" xfId="2073"/>
    <cellStyle name="60% - Accent1 2 3" xfId="2028"/>
    <cellStyle name="60% - Accent2" xfId="32" builtinId="36" customBuiltin="1"/>
    <cellStyle name="60% - Accent2 2" xfId="33"/>
    <cellStyle name="60% - Accent2 2 2" xfId="2074"/>
    <cellStyle name="60% - Accent2 2 3" xfId="2032"/>
    <cellStyle name="60% - Accent3" xfId="34" builtinId="40" customBuiltin="1"/>
    <cellStyle name="60% - Accent3 2" xfId="35"/>
    <cellStyle name="60% - Accent3 2 2" xfId="2075"/>
    <cellStyle name="60% - Accent3 2 3" xfId="2036"/>
    <cellStyle name="60% - Accent4" xfId="36" builtinId="44" customBuiltin="1"/>
    <cellStyle name="60% - Accent4 2" xfId="37"/>
    <cellStyle name="60% - Accent4 2 2" xfId="2076"/>
    <cellStyle name="60% - Accent4 2 3" xfId="2040"/>
    <cellStyle name="60% - Accent5" xfId="38" builtinId="48" customBuiltin="1"/>
    <cellStyle name="60% - Accent5 2" xfId="39"/>
    <cellStyle name="60% - Accent5 2 2" xfId="2077"/>
    <cellStyle name="60% - Accent5 2 3" xfId="2044"/>
    <cellStyle name="60% - Accent6" xfId="40" builtinId="52" customBuiltin="1"/>
    <cellStyle name="60% - Accent6 2" xfId="41"/>
    <cellStyle name="60% - Accent6 2 2" xfId="2078"/>
    <cellStyle name="60% - Accent6 2 3" xfId="2048"/>
    <cellStyle name="Accent1" xfId="42" builtinId="29" customBuiltin="1"/>
    <cellStyle name="Accent1 2" xfId="43"/>
    <cellStyle name="Accent1 2 2" xfId="2079"/>
    <cellStyle name="Accent1 2 3" xfId="2025"/>
    <cellStyle name="Accent2" xfId="44" builtinId="33" customBuiltin="1"/>
    <cellStyle name="Accent2 2" xfId="45"/>
    <cellStyle name="Accent2 2 2" xfId="2080"/>
    <cellStyle name="Accent2 2 3" xfId="2029"/>
    <cellStyle name="Accent3" xfId="46" builtinId="37" customBuiltin="1"/>
    <cellStyle name="Accent3 2" xfId="47"/>
    <cellStyle name="Accent3 2 2" xfId="2081"/>
    <cellStyle name="Accent3 2 3" xfId="2033"/>
    <cellStyle name="Accent4" xfId="48" builtinId="41" customBuiltin="1"/>
    <cellStyle name="Accent4 2" xfId="49"/>
    <cellStyle name="Accent4 2 2" xfId="2082"/>
    <cellStyle name="Accent4 2 3" xfId="2037"/>
    <cellStyle name="Accent5" xfId="50" builtinId="45" customBuiltin="1"/>
    <cellStyle name="Accent5 2" xfId="51"/>
    <cellStyle name="Accent5 2 2" xfId="2083"/>
    <cellStyle name="Accent5 2 3" xfId="2041"/>
    <cellStyle name="Accent6" xfId="52" builtinId="49" customBuiltin="1"/>
    <cellStyle name="Accent6 2" xfId="53"/>
    <cellStyle name="Accent6 2 2" xfId="2084"/>
    <cellStyle name="Accent6 2 3" xfId="2045"/>
    <cellStyle name="Array" xfId="54"/>
    <cellStyle name="Array Enter" xfId="55"/>
    <cellStyle name="Bad" xfId="56" builtinId="27" customBuiltin="1"/>
    <cellStyle name="Bad 2" xfId="57"/>
    <cellStyle name="Bad 2 2" xfId="2085"/>
    <cellStyle name="Bad 2 3" xfId="2014"/>
    <cellStyle name="Cabe‡alho 1" xfId="58"/>
    <cellStyle name="Cabe‡alho 2" xfId="59"/>
    <cellStyle name="Cabecera 1" xfId="60"/>
    <cellStyle name="Cabecera 2" xfId="61"/>
    <cellStyle name="Calculation" xfId="62" builtinId="22" customBuiltin="1"/>
    <cellStyle name="Calculation 2" xfId="63"/>
    <cellStyle name="Calculation 2 2" xfId="1079"/>
    <cellStyle name="Calculation 2 3" xfId="2018"/>
    <cellStyle name="Check Cell" xfId="64" builtinId="23" customBuiltin="1"/>
    <cellStyle name="Check Cell 2" xfId="65"/>
    <cellStyle name="Check Cell 2 2" xfId="2086"/>
    <cellStyle name="Check Cell 2 3" xfId="2020"/>
    <cellStyle name="Clive" xfId="66"/>
    <cellStyle name="clsAltData" xfId="67"/>
    <cellStyle name="clsAltDataPrezn1" xfId="68"/>
    <cellStyle name="clsAltDataPrezn3" xfId="69"/>
    <cellStyle name="clsAltDataPrezn4" xfId="70"/>
    <cellStyle name="clsAltDataPrezn5" xfId="71"/>
    <cellStyle name="clsAltDataPrezn6" xfId="72"/>
    <cellStyle name="clsAltMRVData" xfId="73"/>
    <cellStyle name="clsAltMRVDataPrezn1" xfId="74"/>
    <cellStyle name="clsAltMRVDataPrezn3" xfId="75"/>
    <cellStyle name="clsAltMRVDataPrezn4" xfId="76"/>
    <cellStyle name="clsAltMRVDataPrezn5" xfId="77"/>
    <cellStyle name="clsAltMRVDataPrezn6" xfId="78"/>
    <cellStyle name="clsBlank" xfId="79"/>
    <cellStyle name="clsColumnHeader" xfId="80"/>
    <cellStyle name="clsData" xfId="81"/>
    <cellStyle name="clsDataPrezn1" xfId="82"/>
    <cellStyle name="clsDataPrezn3" xfId="83"/>
    <cellStyle name="clsDataPrezn4" xfId="84"/>
    <cellStyle name="clsDataPrezn5" xfId="85"/>
    <cellStyle name="clsDataPrezn6" xfId="86"/>
    <cellStyle name="clsDefault" xfId="87"/>
    <cellStyle name="clsFooter" xfId="88"/>
    <cellStyle name="clsIndexTableData" xfId="89"/>
    <cellStyle name="clsIndexTableHdr" xfId="90"/>
    <cellStyle name="clsIndexTableTitle" xfId="91"/>
    <cellStyle name="clsMRVData" xfId="92"/>
    <cellStyle name="clsMRVDataPrezn1" xfId="93"/>
    <cellStyle name="clsMRVDataPrezn3" xfId="94"/>
    <cellStyle name="clsMRVDataPrezn4" xfId="95"/>
    <cellStyle name="clsMRVDataPrezn5" xfId="96"/>
    <cellStyle name="clsMRVDataPrezn6" xfId="97"/>
    <cellStyle name="clsReportFooter" xfId="98"/>
    <cellStyle name="clsReportHeader" xfId="99"/>
    <cellStyle name="clsRowHeader" xfId="100"/>
    <cellStyle name="clsScale" xfId="101"/>
    <cellStyle name="clsSection" xfId="102"/>
    <cellStyle name="Comma" xfId="103"/>
    <cellStyle name="Comma [0] 2" xfId="2007"/>
    <cellStyle name="Comma 10" xfId="104"/>
    <cellStyle name="Comma 10 2" xfId="105"/>
    <cellStyle name="Comma 10 2 2" xfId="1036"/>
    <cellStyle name="Comma 10 3" xfId="106"/>
    <cellStyle name="Comma 10 3 2" xfId="1037"/>
    <cellStyle name="Comma 10 4" xfId="107"/>
    <cellStyle name="Comma 10 4 2" xfId="1038"/>
    <cellStyle name="Comma 10 5" xfId="1080"/>
    <cellStyle name="Comma 10 6" xfId="1035"/>
    <cellStyle name="Comma 11" xfId="108"/>
    <cellStyle name="Comma 11 2" xfId="109"/>
    <cellStyle name="Comma 11 2 2" xfId="2090"/>
    <cellStyle name="Comma 11 2 3" xfId="2089"/>
    <cellStyle name="Comma 11 2 4" xfId="1074"/>
    <cellStyle name="Comma 11 3" xfId="2091"/>
    <cellStyle name="Comma 11 4" xfId="2088"/>
    <cellStyle name="Comma 11 5" xfId="1039"/>
    <cellStyle name="Comma 12" xfId="110"/>
    <cellStyle name="Comma 12 2" xfId="2092"/>
    <cellStyle name="Comma 12 3" xfId="1034"/>
    <cellStyle name="Comma 13" xfId="111"/>
    <cellStyle name="Comma 13 2" xfId="2093"/>
    <cellStyle name="Comma 13 3" xfId="1072"/>
    <cellStyle name="Comma 14" xfId="112"/>
    <cellStyle name="Comma 14 2" xfId="2095"/>
    <cellStyle name="Comma 14 3" xfId="2094"/>
    <cellStyle name="Comma 14 4" xfId="1081"/>
    <cellStyle name="Comma 15" xfId="113"/>
    <cellStyle name="Comma 15 2" xfId="2097"/>
    <cellStyle name="Comma 15 3" xfId="2096"/>
    <cellStyle name="Comma 16" xfId="2098"/>
    <cellStyle name="Comma 17" xfId="2099"/>
    <cellStyle name="Comma 18" xfId="2100"/>
    <cellStyle name="Comma 19" xfId="2087"/>
    <cellStyle name="Comma 2" xfId="114"/>
    <cellStyle name="Comma 2 10" xfId="1082"/>
    <cellStyle name="Comma 2 10 2" xfId="1083"/>
    <cellStyle name="Comma 2 10 3" xfId="1084"/>
    <cellStyle name="Comma 2 11" xfId="1085"/>
    <cellStyle name="Comma 2 12" xfId="1086"/>
    <cellStyle name="Comma 2 12 2" xfId="1087"/>
    <cellStyle name="Comma 2 12 3" xfId="1088"/>
    <cellStyle name="Comma 2 12 4" xfId="1089"/>
    <cellStyle name="Comma 2 13" xfId="1090"/>
    <cellStyle name="Comma 2 14" xfId="1091"/>
    <cellStyle name="Comma 2 15" xfId="1092"/>
    <cellStyle name="Comma 2 16" xfId="1093"/>
    <cellStyle name="Comma 2 17" xfId="1094"/>
    <cellStyle name="Comma 2 18" xfId="1095"/>
    <cellStyle name="Comma 2 19" xfId="1096"/>
    <cellStyle name="Comma 2 2" xfId="115"/>
    <cellStyle name="Comma 2 2 2" xfId="116"/>
    <cellStyle name="Comma 2 2 2 2" xfId="1032"/>
    <cellStyle name="Comma 2 2 3" xfId="117"/>
    <cellStyle name="Comma 2 2 3 2" xfId="2101"/>
    <cellStyle name="Comma 2 2 4" xfId="1028"/>
    <cellStyle name="Comma 2 20" xfId="1097"/>
    <cellStyle name="Comma 2 21" xfId="1098"/>
    <cellStyle name="Comma 2 22" xfId="1099"/>
    <cellStyle name="Comma 2 23" xfId="1100"/>
    <cellStyle name="Comma 2 24" xfId="1101"/>
    <cellStyle name="Comma 2 25" xfId="1102"/>
    <cellStyle name="Comma 2 26" xfId="1103"/>
    <cellStyle name="Comma 2 27" xfId="1104"/>
    <cellStyle name="Comma 2 28" xfId="1105"/>
    <cellStyle name="Comma 2 29" xfId="1106"/>
    <cellStyle name="Comma 2 3" xfId="118"/>
    <cellStyle name="Comma 2 3 10" xfId="1107"/>
    <cellStyle name="Comma 2 3 11" xfId="1108"/>
    <cellStyle name="Comma 2 3 12" xfId="1109"/>
    <cellStyle name="Comma 2 3 13" xfId="1110"/>
    <cellStyle name="Comma 2 3 14" xfId="1111"/>
    <cellStyle name="Comma 2 3 15" xfId="1112"/>
    <cellStyle name="Comma 2 3 16" xfId="1113"/>
    <cellStyle name="Comma 2 3 17" xfId="1114"/>
    <cellStyle name="Comma 2 3 18" xfId="1115"/>
    <cellStyle name="Comma 2 3 19" xfId="1116"/>
    <cellStyle name="Comma 2 3 2" xfId="1117"/>
    <cellStyle name="Comma 2 3 2 10" xfId="1118"/>
    <cellStyle name="Comma 2 3 2 11" xfId="1119"/>
    <cellStyle name="Comma 2 3 2 12" xfId="1120"/>
    <cellStyle name="Comma 2 3 2 13" xfId="1121"/>
    <cellStyle name="Comma 2 3 2 14" xfId="1122"/>
    <cellStyle name="Comma 2 3 2 15" xfId="1123"/>
    <cellStyle name="Comma 2 3 2 16" xfId="1124"/>
    <cellStyle name="Comma 2 3 2 17" xfId="1125"/>
    <cellStyle name="Comma 2 3 2 18" xfId="1126"/>
    <cellStyle name="Comma 2 3 2 19" xfId="1127"/>
    <cellStyle name="Comma 2 3 2 2" xfId="1128"/>
    <cellStyle name="Comma 2 3 2 2 2" xfId="1129"/>
    <cellStyle name="Comma 2 3 2 2 3" xfId="1130"/>
    <cellStyle name="Comma 2 3 2 20" xfId="1131"/>
    <cellStyle name="Comma 2 3 2 21" xfId="1132"/>
    <cellStyle name="Comma 2 3 2 22" xfId="1133"/>
    <cellStyle name="Comma 2 3 2 3" xfId="1134"/>
    <cellStyle name="Comma 2 3 2 4" xfId="1135"/>
    <cellStyle name="Comma 2 3 2 5" xfId="1136"/>
    <cellStyle name="Comma 2 3 2 6" xfId="1137"/>
    <cellStyle name="Comma 2 3 2 7" xfId="1138"/>
    <cellStyle name="Comma 2 3 2 8" xfId="1139"/>
    <cellStyle name="Comma 2 3 2 9" xfId="1140"/>
    <cellStyle name="Comma 2 3 20" xfId="1141"/>
    <cellStyle name="Comma 2 3 21" xfId="1142"/>
    <cellStyle name="Comma 2 3 22" xfId="1143"/>
    <cellStyle name="Comma 2 3 23" xfId="1144"/>
    <cellStyle name="Comma 2 3 24" xfId="1145"/>
    <cellStyle name="Comma 2 3 25" xfId="1146"/>
    <cellStyle name="Comma 2 3 26" xfId="1147"/>
    <cellStyle name="Comma 2 3 27" xfId="1040"/>
    <cellStyle name="Comma 2 3 3" xfId="1148"/>
    <cellStyle name="Comma 2 3 4" xfId="1149"/>
    <cellStyle name="Comma 2 3 5" xfId="1150"/>
    <cellStyle name="Comma 2 3 6" xfId="1151"/>
    <cellStyle name="Comma 2 3 7" xfId="1152"/>
    <cellStyle name="Comma 2 3 8" xfId="1153"/>
    <cellStyle name="Comma 2 3 8 2" xfId="1154"/>
    <cellStyle name="Comma 2 3 8 3" xfId="1155"/>
    <cellStyle name="Comma 2 3 8 4" xfId="1156"/>
    <cellStyle name="Comma 2 3 9" xfId="1157"/>
    <cellStyle name="Comma 2 30" xfId="1158"/>
    <cellStyle name="Comma 2 31" xfId="1159"/>
    <cellStyle name="Comma 2 4" xfId="119"/>
    <cellStyle name="Comma 2 4 2" xfId="1160"/>
    <cellStyle name="Comma 2 5" xfId="120"/>
    <cellStyle name="Comma 2 5 2" xfId="1162"/>
    <cellStyle name="Comma 2 5 2 2" xfId="1163"/>
    <cellStyle name="Comma 2 5 2 2 2" xfId="1164"/>
    <cellStyle name="Comma 2 5 2 2 2 2" xfId="1165"/>
    <cellStyle name="Comma 2 5 2 2 2 3" xfId="1166"/>
    <cellStyle name="Comma 2 5 2 2 3" xfId="1167"/>
    <cellStyle name="Comma 2 5 2 3" xfId="1168"/>
    <cellStyle name="Comma 2 5 2 3 2" xfId="1169"/>
    <cellStyle name="Comma 2 5 2 3 3" xfId="1170"/>
    <cellStyle name="Comma 2 5 2 3 4" xfId="1171"/>
    <cellStyle name="Comma 2 5 2 4" xfId="1172"/>
    <cellStyle name="Comma 2 5 2 5" xfId="1173"/>
    <cellStyle name="Comma 2 5 2 6" xfId="1174"/>
    <cellStyle name="Comma 2 5 3" xfId="1175"/>
    <cellStyle name="Comma 2 5 3 2" xfId="1176"/>
    <cellStyle name="Comma 2 5 3 3" xfId="1177"/>
    <cellStyle name="Comma 2 5 3 4" xfId="1178"/>
    <cellStyle name="Comma 2 5 4" xfId="1179"/>
    <cellStyle name="Comma 2 5 4 2" xfId="1180"/>
    <cellStyle name="Comma 2 5 4 3" xfId="1181"/>
    <cellStyle name="Comma 2 5 4 4" xfId="1182"/>
    <cellStyle name="Comma 2 5 5" xfId="1183"/>
    <cellStyle name="Comma 2 5 6" xfId="1161"/>
    <cellStyle name="Comma 2 5 7" xfId="1041"/>
    <cellStyle name="Comma 2 6" xfId="121"/>
    <cellStyle name="Comma 2 6 2" xfId="1185"/>
    <cellStyle name="Comma 2 6 3" xfId="1184"/>
    <cellStyle name="Comma 2 7" xfId="1186"/>
    <cellStyle name="Comma 2 7 10" xfId="1187"/>
    <cellStyle name="Comma 2 7 11" xfId="1188"/>
    <cellStyle name="Comma 2 7 12" xfId="1189"/>
    <cellStyle name="Comma 2 7 13" xfId="1190"/>
    <cellStyle name="Comma 2 7 14" xfId="1191"/>
    <cellStyle name="Comma 2 7 15" xfId="1192"/>
    <cellStyle name="Comma 2 7 16" xfId="1193"/>
    <cellStyle name="Comma 2 7 16 2" xfId="1194"/>
    <cellStyle name="Comma 2 7 16 3" xfId="1195"/>
    <cellStyle name="Comma 2 7 16 4" xfId="1196"/>
    <cellStyle name="Comma 2 7 17" xfId="1197"/>
    <cellStyle name="Comma 2 7 18" xfId="1198"/>
    <cellStyle name="Comma 2 7 19" xfId="1199"/>
    <cellStyle name="Comma 2 7 2" xfId="1200"/>
    <cellStyle name="Comma 2 7 2 10" xfId="1201"/>
    <cellStyle name="Comma 2 7 2 11" xfId="1202"/>
    <cellStyle name="Comma 2 7 2 12" xfId="1203"/>
    <cellStyle name="Comma 2 7 2 13" xfId="1204"/>
    <cellStyle name="Comma 2 7 2 14" xfId="1205"/>
    <cellStyle name="Comma 2 7 2 15" xfId="1206"/>
    <cellStyle name="Comma 2 7 2 16" xfId="1207"/>
    <cellStyle name="Comma 2 7 2 16 2" xfId="1208"/>
    <cellStyle name="Comma 2 7 2 16 3" xfId="1209"/>
    <cellStyle name="Comma 2 7 2 16 4" xfId="1210"/>
    <cellStyle name="Comma 2 7 2 17" xfId="1211"/>
    <cellStyle name="Comma 2 7 2 18" xfId="1212"/>
    <cellStyle name="Comma 2 7 2 19" xfId="1213"/>
    <cellStyle name="Comma 2 7 2 2" xfId="1214"/>
    <cellStyle name="Comma 2 7 2 2 2" xfId="1215"/>
    <cellStyle name="Comma 2 7 2 2 3" xfId="1216"/>
    <cellStyle name="Comma 2 7 2 2 4" xfId="1217"/>
    <cellStyle name="Comma 2 7 2 20" xfId="1218"/>
    <cellStyle name="Comma 2 7 2 21" xfId="1219"/>
    <cellStyle name="Comma 2 7 2 22" xfId="1220"/>
    <cellStyle name="Comma 2 7 2 3" xfId="1221"/>
    <cellStyle name="Comma 2 7 2 4" xfId="1222"/>
    <cellStyle name="Comma 2 7 2 5" xfId="1223"/>
    <cellStyle name="Comma 2 7 2 6" xfId="1224"/>
    <cellStyle name="Comma 2 7 2 7" xfId="1225"/>
    <cellStyle name="Comma 2 7 2 8" xfId="1226"/>
    <cellStyle name="Comma 2 7 2 9" xfId="1227"/>
    <cellStyle name="Comma 2 7 20" xfId="1228"/>
    <cellStyle name="Comma 2 7 21" xfId="1229"/>
    <cellStyle name="Comma 2 7 3" xfId="1230"/>
    <cellStyle name="Comma 2 7 3 2" xfId="1231"/>
    <cellStyle name="Comma 2 7 3 3" xfId="1232"/>
    <cellStyle name="Comma 2 7 3 4" xfId="1233"/>
    <cellStyle name="Comma 2 7 4" xfId="1234"/>
    <cellStyle name="Comma 2 7 5" xfId="1235"/>
    <cellStyle name="Comma 2 7 6" xfId="1236"/>
    <cellStyle name="Comma 2 7 7" xfId="1237"/>
    <cellStyle name="Comma 2 7 8" xfId="1238"/>
    <cellStyle name="Comma 2 7 9" xfId="1239"/>
    <cellStyle name="Comma 2 8" xfId="1240"/>
    <cellStyle name="Comma 2 8 10" xfId="1241"/>
    <cellStyle name="Comma 2 8 11" xfId="1242"/>
    <cellStyle name="Comma 2 8 12" xfId="1243"/>
    <cellStyle name="Comma 2 8 13" xfId="1244"/>
    <cellStyle name="Comma 2 8 14" xfId="1245"/>
    <cellStyle name="Comma 2 8 15" xfId="1246"/>
    <cellStyle name="Comma 2 8 16" xfId="1247"/>
    <cellStyle name="Comma 2 8 16 2" xfId="1248"/>
    <cellStyle name="Comma 2 8 16 3" xfId="1249"/>
    <cellStyle name="Comma 2 8 16 4" xfId="1250"/>
    <cellStyle name="Comma 2 8 17" xfId="1251"/>
    <cellStyle name="Comma 2 8 18" xfId="1252"/>
    <cellStyle name="Comma 2 8 19" xfId="1253"/>
    <cellStyle name="Comma 2 8 2" xfId="1254"/>
    <cellStyle name="Comma 2 8 2 10" xfId="1255"/>
    <cellStyle name="Comma 2 8 2 11" xfId="1256"/>
    <cellStyle name="Comma 2 8 2 12" xfId="1257"/>
    <cellStyle name="Comma 2 8 2 13" xfId="1258"/>
    <cellStyle name="Comma 2 8 2 14" xfId="1259"/>
    <cellStyle name="Comma 2 8 2 15" xfId="1260"/>
    <cellStyle name="Comma 2 8 2 16" xfId="1261"/>
    <cellStyle name="Comma 2 8 2 16 2" xfId="1262"/>
    <cellStyle name="Comma 2 8 2 16 3" xfId="1263"/>
    <cellStyle name="Comma 2 8 2 16 4" xfId="1264"/>
    <cellStyle name="Comma 2 8 2 17" xfId="1265"/>
    <cellStyle name="Comma 2 8 2 18" xfId="1266"/>
    <cellStyle name="Comma 2 8 2 19" xfId="1267"/>
    <cellStyle name="Comma 2 8 2 2" xfId="1268"/>
    <cellStyle name="Comma 2 8 2 2 2" xfId="1269"/>
    <cellStyle name="Comma 2 8 2 2 3" xfId="1270"/>
    <cellStyle name="Comma 2 8 2 2 4" xfId="1271"/>
    <cellStyle name="Comma 2 8 2 20" xfId="1272"/>
    <cellStyle name="Comma 2 8 2 21" xfId="1273"/>
    <cellStyle name="Comma 2 8 2 22" xfId="1274"/>
    <cellStyle name="Comma 2 8 2 3" xfId="1275"/>
    <cellStyle name="Comma 2 8 2 4" xfId="1276"/>
    <cellStyle name="Comma 2 8 2 5" xfId="1277"/>
    <cellStyle name="Comma 2 8 2 6" xfId="1278"/>
    <cellStyle name="Comma 2 8 2 7" xfId="1279"/>
    <cellStyle name="Comma 2 8 2 8" xfId="1280"/>
    <cellStyle name="Comma 2 8 2 9" xfId="1281"/>
    <cellStyle name="Comma 2 8 20" xfId="1282"/>
    <cellStyle name="Comma 2 8 21" xfId="1283"/>
    <cellStyle name="Comma 2 8 3" xfId="1284"/>
    <cellStyle name="Comma 2 8 3 2" xfId="1285"/>
    <cellStyle name="Comma 2 8 3 3" xfId="1286"/>
    <cellStyle name="Comma 2 8 3 4" xfId="1287"/>
    <cellStyle name="Comma 2 8 4" xfId="1288"/>
    <cellStyle name="Comma 2 8 5" xfId="1289"/>
    <cellStyle name="Comma 2 8 6" xfId="1290"/>
    <cellStyle name="Comma 2 8 7" xfId="1291"/>
    <cellStyle name="Comma 2 8 8" xfId="1292"/>
    <cellStyle name="Comma 2 8 9" xfId="1293"/>
    <cellStyle name="Comma 2 9" xfId="1294"/>
    <cellStyle name="Comma 2 9 10" xfId="1295"/>
    <cellStyle name="Comma 2 9 11" xfId="1296"/>
    <cellStyle name="Comma 2 9 12" xfId="1297"/>
    <cellStyle name="Comma 2 9 13" xfId="1298"/>
    <cellStyle name="Comma 2 9 14" xfId="1299"/>
    <cellStyle name="Comma 2 9 15" xfId="1300"/>
    <cellStyle name="Comma 2 9 16" xfId="1301"/>
    <cellStyle name="Comma 2 9 16 2" xfId="1302"/>
    <cellStyle name="Comma 2 9 16 3" xfId="1303"/>
    <cellStyle name="Comma 2 9 16 4" xfId="1304"/>
    <cellStyle name="Comma 2 9 17" xfId="1305"/>
    <cellStyle name="Comma 2 9 18" xfId="1306"/>
    <cellStyle name="Comma 2 9 19" xfId="1307"/>
    <cellStyle name="Comma 2 9 2" xfId="1308"/>
    <cellStyle name="Comma 2 9 2 2" xfId="1309"/>
    <cellStyle name="Comma 2 9 2 3" xfId="1310"/>
    <cellStyle name="Comma 2 9 2 4" xfId="1311"/>
    <cellStyle name="Comma 2 9 20" xfId="1312"/>
    <cellStyle name="Comma 2 9 21" xfId="1313"/>
    <cellStyle name="Comma 2 9 22" xfId="1314"/>
    <cellStyle name="Comma 2 9 3" xfId="1315"/>
    <cellStyle name="Comma 2 9 4" xfId="1316"/>
    <cellStyle name="Comma 2 9 5" xfId="1317"/>
    <cellStyle name="Comma 2 9 6" xfId="1318"/>
    <cellStyle name="Comma 2 9 7" xfId="1319"/>
    <cellStyle name="Comma 2 9 8" xfId="1320"/>
    <cellStyle name="Comma 2 9 9" xfId="1321"/>
    <cellStyle name="Comma 20" xfId="2211"/>
    <cellStyle name="Comma 21" xfId="2213"/>
    <cellStyle name="Comma 22" xfId="2187"/>
    <cellStyle name="Comma 23" xfId="2170"/>
    <cellStyle name="Comma 24" xfId="2218"/>
    <cellStyle name="Comma 25" xfId="2217"/>
    <cellStyle name="Comma 26" xfId="2111"/>
    <cellStyle name="Comma 27" xfId="1989"/>
    <cellStyle name="Comma 28" xfId="2174"/>
    <cellStyle name="Comma 29" xfId="2216"/>
    <cellStyle name="Comma 3" xfId="122"/>
    <cellStyle name="Comma 3 10" xfId="1987"/>
    <cellStyle name="Comma 3 11" xfId="1042"/>
    <cellStyle name="Comma 3 2" xfId="123"/>
    <cellStyle name="Comma 3 2 2" xfId="124"/>
    <cellStyle name="Comma 3 2 2 2" xfId="1323"/>
    <cellStyle name="Comma 3 2 3" xfId="125"/>
    <cellStyle name="Comma 3 2 3 2" xfId="1324"/>
    <cellStyle name="Comma 3 2 4" xfId="1325"/>
    <cellStyle name="Comma 3 2 4 2" xfId="1326"/>
    <cellStyle name="Comma 3 2 4 3" xfId="1327"/>
    <cellStyle name="Comma 3 2 4 4" xfId="1328"/>
    <cellStyle name="Comma 3 2 5" xfId="1329"/>
    <cellStyle name="Comma 3 2 5 2" xfId="1330"/>
    <cellStyle name="Comma 3 2 5 3" xfId="1331"/>
    <cellStyle name="Comma 3 2 5 4" xfId="1332"/>
    <cellStyle name="Comma 3 2 6" xfId="1333"/>
    <cellStyle name="Comma 3 2 7" xfId="1334"/>
    <cellStyle name="Comma 3 2 8" xfId="1043"/>
    <cellStyle name="Comma 3 3" xfId="126"/>
    <cellStyle name="Comma 3 3 2" xfId="127"/>
    <cellStyle name="Comma 3 3 2 2" xfId="2105"/>
    <cellStyle name="Comma 3 3 2 3" xfId="2104"/>
    <cellStyle name="Comma 3 3 2 4" xfId="1075"/>
    <cellStyle name="Comma 3 3 3" xfId="128"/>
    <cellStyle name="Comma 3 3 3 2" xfId="2106"/>
    <cellStyle name="Comma 3 3 3 3" xfId="1335"/>
    <cellStyle name="Comma 3 3 4" xfId="2103"/>
    <cellStyle name="Comma 3 3 5" xfId="1044"/>
    <cellStyle name="Comma 3 4" xfId="129"/>
    <cellStyle name="Comma 3 4 2" xfId="130"/>
    <cellStyle name="Comma 3 4 2 2" xfId="2107"/>
    <cellStyle name="Comma 3 4 3" xfId="131"/>
    <cellStyle name="Comma 3 4 4" xfId="1336"/>
    <cellStyle name="Comma 3 5" xfId="132"/>
    <cellStyle name="Comma 3 5 2" xfId="2108"/>
    <cellStyle name="Comma 3 5 3" xfId="1337"/>
    <cellStyle name="Comma 3 6" xfId="133"/>
    <cellStyle name="Comma 3 6 2" xfId="1339"/>
    <cellStyle name="Comma 3 6 3" xfId="1340"/>
    <cellStyle name="Comma 3 6 4" xfId="1341"/>
    <cellStyle name="Comma 3 6 5" xfId="2102"/>
    <cellStyle name="Comma 3 6 6" xfId="1338"/>
    <cellStyle name="Comma 3 7" xfId="1342"/>
    <cellStyle name="Comma 3 7 2" xfId="1343"/>
    <cellStyle name="Comma 3 7 3" xfId="1344"/>
    <cellStyle name="Comma 3 7 4" xfId="1345"/>
    <cellStyle name="Comma 3 8" xfId="1346"/>
    <cellStyle name="Comma 3 9" xfId="1322"/>
    <cellStyle name="Comma 30" xfId="2215"/>
    <cellStyle name="Comma 31" xfId="2222"/>
    <cellStyle name="Comma 32" xfId="2224"/>
    <cellStyle name="Comma 33" xfId="2232"/>
    <cellStyle name="Comma 34" xfId="2235"/>
    <cellStyle name="Comma 35" xfId="2236"/>
    <cellStyle name="Comma 36" xfId="2239"/>
    <cellStyle name="Comma 4" xfId="134"/>
    <cellStyle name="Comma 4 10" xfId="1347"/>
    <cellStyle name="Comma 4 11" xfId="1988"/>
    <cellStyle name="Comma 4 12" xfId="1045"/>
    <cellStyle name="Comma 4 2" xfId="135"/>
    <cellStyle name="Comma 4 2 2" xfId="1348"/>
    <cellStyle name="Comma 4 2 2 2" xfId="1349"/>
    <cellStyle name="Comma 4 2 2 2 2" xfId="1350"/>
    <cellStyle name="Comma 4 2 2 2 3" xfId="1351"/>
    <cellStyle name="Comma 4 2 2 3" xfId="1352"/>
    <cellStyle name="Comma 4 2 3" xfId="1353"/>
    <cellStyle name="Comma 4 2 3 2" xfId="1354"/>
    <cellStyle name="Comma 4 2 3 3" xfId="1355"/>
    <cellStyle name="Comma 4 2 3 4" xfId="1356"/>
    <cellStyle name="Comma 4 2 4" xfId="1357"/>
    <cellStyle name="Comma 4 2 5" xfId="1358"/>
    <cellStyle name="Comma 4 2 6" xfId="1359"/>
    <cellStyle name="Comma 4 2 7" xfId="1046"/>
    <cellStyle name="Comma 4 3" xfId="136"/>
    <cellStyle name="Comma 4 3 2" xfId="1360"/>
    <cellStyle name="Comma 4 4" xfId="137"/>
    <cellStyle name="Comma 4 4 2" xfId="2110"/>
    <cellStyle name="Comma 4 4 3" xfId="1361"/>
    <cellStyle name="Comma 4 5" xfId="138"/>
    <cellStyle name="Comma 4 5 2" xfId="2109"/>
    <cellStyle name="Comma 4 6" xfId="139"/>
    <cellStyle name="Comma 4 6 2" xfId="1362"/>
    <cellStyle name="Comma 4 7" xfId="1363"/>
    <cellStyle name="Comma 4 7 2" xfId="1364"/>
    <cellStyle name="Comma 4 7 3" xfId="1365"/>
    <cellStyle name="Comma 4 7 4" xfId="1366"/>
    <cellStyle name="Comma 4 8" xfId="1367"/>
    <cellStyle name="Comma 4 8 2" xfId="1368"/>
    <cellStyle name="Comma 4 8 3" xfId="1369"/>
    <cellStyle name="Comma 4 8 4" xfId="1370"/>
    <cellStyle name="Comma 4 9" xfId="1371"/>
    <cellStyle name="Comma 5" xfId="140"/>
    <cellStyle name="Comma 5 2" xfId="141"/>
    <cellStyle name="Comma 5 2 2" xfId="142"/>
    <cellStyle name="Comma 5 2 2 2" xfId="1373"/>
    <cellStyle name="Comma 5 3" xfId="143"/>
    <cellStyle name="Comma 5 3 2" xfId="1374"/>
    <cellStyle name="Comma 5 4" xfId="1372"/>
    <cellStyle name="Comma 5 5" xfId="2006"/>
    <cellStyle name="Comma 5 6" xfId="1047"/>
    <cellStyle name="Comma 6" xfId="144"/>
    <cellStyle name="Comma 6 10" xfId="1376"/>
    <cellStyle name="Comma 6 11" xfId="1377"/>
    <cellStyle name="Comma 6 12" xfId="1378"/>
    <cellStyle name="Comma 6 13" xfId="1379"/>
    <cellStyle name="Comma 6 14" xfId="1380"/>
    <cellStyle name="Comma 6 15" xfId="1381"/>
    <cellStyle name="Comma 6 16" xfId="1382"/>
    <cellStyle name="Comma 6 17" xfId="1383"/>
    <cellStyle name="Comma 6 18" xfId="1384"/>
    <cellStyle name="Comma 6 19" xfId="1385"/>
    <cellStyle name="Comma 6 2" xfId="145"/>
    <cellStyle name="Comma 6 2 10" xfId="1387"/>
    <cellStyle name="Comma 6 2 11" xfId="1388"/>
    <cellStyle name="Comma 6 2 12" xfId="1389"/>
    <cellStyle name="Comma 6 2 13" xfId="1390"/>
    <cellStyle name="Comma 6 2 14" xfId="1391"/>
    <cellStyle name="Comma 6 2 15" xfId="1392"/>
    <cellStyle name="Comma 6 2 16" xfId="1393"/>
    <cellStyle name="Comma 6 2 17" xfId="1394"/>
    <cellStyle name="Comma 6 2 18" xfId="1395"/>
    <cellStyle name="Comma 6 2 19" xfId="1396"/>
    <cellStyle name="Comma 6 2 2" xfId="1397"/>
    <cellStyle name="Comma 6 2 2 2" xfId="1398"/>
    <cellStyle name="Comma 6 2 2 3" xfId="1399"/>
    <cellStyle name="Comma 6 2 20" xfId="1400"/>
    <cellStyle name="Comma 6 2 21" xfId="1401"/>
    <cellStyle name="Comma 6 2 22" xfId="1402"/>
    <cellStyle name="Comma 6 2 23" xfId="1386"/>
    <cellStyle name="Comma 6 2 3" xfId="1403"/>
    <cellStyle name="Comma 6 2 4" xfId="1404"/>
    <cellStyle name="Comma 6 2 5" xfId="1405"/>
    <cellStyle name="Comma 6 2 6" xfId="1406"/>
    <cellStyle name="Comma 6 2 7" xfId="1407"/>
    <cellStyle name="Comma 6 2 8" xfId="1408"/>
    <cellStyle name="Comma 6 2 9" xfId="1409"/>
    <cellStyle name="Comma 6 20" xfId="1410"/>
    <cellStyle name="Comma 6 21" xfId="1411"/>
    <cellStyle name="Comma 6 22" xfId="1412"/>
    <cellStyle name="Comma 6 23" xfId="1413"/>
    <cellStyle name="Comma 6 24" xfId="1414"/>
    <cellStyle name="Comma 6 25" xfId="1415"/>
    <cellStyle name="Comma 6 26" xfId="1416"/>
    <cellStyle name="Comma 6 27" xfId="1375"/>
    <cellStyle name="Comma 6 28" xfId="1029"/>
    <cellStyle name="Comma 6 3" xfId="146"/>
    <cellStyle name="Comma 6 3 2" xfId="1417"/>
    <cellStyle name="Comma 6 4" xfId="1418"/>
    <cellStyle name="Comma 6 5" xfId="1419"/>
    <cellStyle name="Comma 6 6" xfId="1420"/>
    <cellStyle name="Comma 6 7" xfId="1421"/>
    <cellStyle name="Comma 6 8" xfId="1422"/>
    <cellStyle name="Comma 6 8 2" xfId="1423"/>
    <cellStyle name="Comma 6 8 3" xfId="1424"/>
    <cellStyle name="Comma 6 8 4" xfId="1425"/>
    <cellStyle name="Comma 6 9" xfId="1426"/>
    <cellStyle name="Comma 7" xfId="147"/>
    <cellStyle name="Comma 7 2" xfId="148"/>
    <cellStyle name="Comma 7 2 2" xfId="1049"/>
    <cellStyle name="Comma 7 3" xfId="149"/>
    <cellStyle name="Comma 7 3 2" xfId="1050"/>
    <cellStyle name="Comma 7 4" xfId="150"/>
    <cellStyle name="Comma 7 4 2" xfId="1051"/>
    <cellStyle name="Comma 7 5" xfId="151"/>
    <cellStyle name="Comma 7 5 2" xfId="1427"/>
    <cellStyle name="Comma 7 6" xfId="152"/>
    <cellStyle name="Comma 7 7" xfId="1048"/>
    <cellStyle name="Comma 8" xfId="153"/>
    <cellStyle name="Comma 8 2" xfId="154"/>
    <cellStyle name="Comma 8 2 2" xfId="155"/>
    <cellStyle name="Comma 8 2 2 2" xfId="2114"/>
    <cellStyle name="Comma 8 2 3" xfId="2115"/>
    <cellStyle name="Comma 8 2 3 2" xfId="2116"/>
    <cellStyle name="Comma 8 2 4" xfId="2113"/>
    <cellStyle name="Comma 8 3" xfId="156"/>
    <cellStyle name="Comma 8 3 2" xfId="2117"/>
    <cellStyle name="Comma 8 4" xfId="157"/>
    <cellStyle name="Comma 8 4 2" xfId="2119"/>
    <cellStyle name="Comma 8 4 3" xfId="2118"/>
    <cellStyle name="Comma 8 4 4" xfId="1428"/>
    <cellStyle name="Comma 8 5" xfId="158"/>
    <cellStyle name="Comma 8 5 2" xfId="2112"/>
    <cellStyle name="Comma 9" xfId="159"/>
    <cellStyle name="Comma 9 2" xfId="160"/>
    <cellStyle name="Comma 9 2 2" xfId="1430"/>
    <cellStyle name="Comma 9 2 2 2" xfId="2120"/>
    <cellStyle name="Comma 9 2 3" xfId="1053"/>
    <cellStyle name="Comma 9 3" xfId="161"/>
    <cellStyle name="Comma 9 3 2" xfId="2121"/>
    <cellStyle name="Comma 9 3 3" xfId="1431"/>
    <cellStyle name="Comma 9 4" xfId="1429"/>
    <cellStyle name="Comma 9 5" xfId="1052"/>
    <cellStyle name="Comma0" xfId="162"/>
    <cellStyle name="Currency" xfId="1986"/>
    <cellStyle name="Currency [0] 2" xfId="2005"/>
    <cellStyle name="Currency 10" xfId="163"/>
    <cellStyle name="Currency 10 2" xfId="2122"/>
    <cellStyle name="Currency 10 3" xfId="1073"/>
    <cellStyle name="Currency 11" xfId="164"/>
    <cellStyle name="Currency 11 2" xfId="2124"/>
    <cellStyle name="Currency 11 3" xfId="2123"/>
    <cellStyle name="Currency 12" xfId="2125"/>
    <cellStyle name="Currency 12 2" xfId="2126"/>
    <cellStyle name="Currency 13" xfId="2127"/>
    <cellStyle name="Currency 14" xfId="2212"/>
    <cellStyle name="Currency 15" xfId="2234"/>
    <cellStyle name="Currency 16" xfId="2233"/>
    <cellStyle name="Currency 17" xfId="2238"/>
    <cellStyle name="Currency 18" xfId="2237"/>
    <cellStyle name="Currency 2" xfId="165"/>
    <cellStyle name="Currency 2 2" xfId="166"/>
    <cellStyle name="Currency 2 2 2" xfId="167"/>
    <cellStyle name="Currency 2 2 2 2" xfId="168"/>
    <cellStyle name="Currency 2 2 2 2 2" xfId="2131"/>
    <cellStyle name="Currency 2 2 2 2 3" xfId="2130"/>
    <cellStyle name="Currency 2 2 2 2 4" xfId="1076"/>
    <cellStyle name="Currency 2 2 2 3" xfId="2132"/>
    <cellStyle name="Currency 2 2 2 4" xfId="2129"/>
    <cellStyle name="Currency 2 2 2 5" xfId="1055"/>
    <cellStyle name="Currency 2 2 3" xfId="1033"/>
    <cellStyle name="Currency 2 3" xfId="169"/>
    <cellStyle name="Currency 2 3 2" xfId="1056"/>
    <cellStyle name="Currency 2 4" xfId="170"/>
    <cellStyle name="Currency 2 4 2" xfId="171"/>
    <cellStyle name="Currency 2 4 2 2" xfId="2135"/>
    <cellStyle name="Currency 2 4 2 3" xfId="2134"/>
    <cellStyle name="Currency 2 4 2 4" xfId="1077"/>
    <cellStyle name="Currency 2 4 3" xfId="2136"/>
    <cellStyle name="Currency 2 4 4" xfId="2133"/>
    <cellStyle name="Currency 2 4 5" xfId="1057"/>
    <cellStyle name="Currency 2 5" xfId="172"/>
    <cellStyle name="Currency 2 6" xfId="173"/>
    <cellStyle name="Currency 2 6 2" xfId="2128"/>
    <cellStyle name="Currency 2 7" xfId="2004"/>
    <cellStyle name="Currency 2 8" xfId="1031"/>
    <cellStyle name="Currency 3" xfId="174"/>
    <cellStyle name="Currency 3 2" xfId="2138"/>
    <cellStyle name="Currency 3 3" xfId="2139"/>
    <cellStyle name="Currency 3 4" xfId="2137"/>
    <cellStyle name="Currency 3 5" xfId="1058"/>
    <cellStyle name="Currency 4" xfId="175"/>
    <cellStyle name="Currency 4 2" xfId="176"/>
    <cellStyle name="Currency 4 2 2" xfId="2140"/>
    <cellStyle name="Currency 4 2 3" xfId="1060"/>
    <cellStyle name="Currency 4 3" xfId="177"/>
    <cellStyle name="Currency 4 3 2" xfId="2142"/>
    <cellStyle name="Currency 4 3 3" xfId="2141"/>
    <cellStyle name="Currency 4 3 4" xfId="1432"/>
    <cellStyle name="Currency 4 4" xfId="2143"/>
    <cellStyle name="Currency 4 5" xfId="1059"/>
    <cellStyle name="Currency 5" xfId="178"/>
    <cellStyle name="Currency 5 2" xfId="179"/>
    <cellStyle name="Currency 5 3" xfId="1061"/>
    <cellStyle name="Currency 6" xfId="180"/>
    <cellStyle name="Currency 6 2" xfId="181"/>
    <cellStyle name="Currency 6 2 2" xfId="182"/>
    <cellStyle name="Currency 6 2 2 2" xfId="2144"/>
    <cellStyle name="Currency 6 2 2 3" xfId="1064"/>
    <cellStyle name="Currency 6 2 3" xfId="2145"/>
    <cellStyle name="Currency 6 2 4" xfId="1063"/>
    <cellStyle name="Currency 6 3" xfId="183"/>
    <cellStyle name="Currency 6 3 2" xfId="184"/>
    <cellStyle name="Currency 6 3 2 2" xfId="2146"/>
    <cellStyle name="Currency 6 3 2 3" xfId="1066"/>
    <cellStyle name="Currency 6 3 3" xfId="2147"/>
    <cellStyle name="Currency 6 3 4" xfId="1065"/>
    <cellStyle name="Currency 6 4" xfId="185"/>
    <cellStyle name="Currency 6 4 2" xfId="186"/>
    <cellStyle name="Currency 6 4 2 2" xfId="2148"/>
    <cellStyle name="Currency 6 4 2 3" xfId="1068"/>
    <cellStyle name="Currency 6 4 3" xfId="2149"/>
    <cellStyle name="Currency 6 4 4" xfId="1067"/>
    <cellStyle name="Currency 6 5" xfId="187"/>
    <cellStyle name="Currency 6 5 2" xfId="2150"/>
    <cellStyle name="Currency 6 5 3" xfId="1069"/>
    <cellStyle name="Currency 6 6" xfId="2151"/>
    <cellStyle name="Currency 6 7" xfId="1062"/>
    <cellStyle name="Currency 7" xfId="188"/>
    <cellStyle name="Currency 7 2" xfId="2152"/>
    <cellStyle name="Currency 7 3" xfId="1070"/>
    <cellStyle name="Currency 8" xfId="189"/>
    <cellStyle name="Currency 8 2" xfId="190"/>
    <cellStyle name="Currency 8 2 2" xfId="2155"/>
    <cellStyle name="Currency 8 2 3" xfId="2154"/>
    <cellStyle name="Currency 8 2 4" xfId="1078"/>
    <cellStyle name="Currency 8 3" xfId="2156"/>
    <cellStyle name="Currency 8 4" xfId="2153"/>
    <cellStyle name="Currency 8 5" xfId="1071"/>
    <cellStyle name="Currency 9" xfId="191"/>
    <cellStyle name="Currency 9 2" xfId="2157"/>
    <cellStyle name="Currency 9 3" xfId="1054"/>
    <cellStyle name="Currency0" xfId="192"/>
    <cellStyle name="Currency0 2" xfId="1433"/>
    <cellStyle name="Data" xfId="193"/>
    <cellStyle name="Date" xfId="194"/>
    <cellStyle name="diskette" xfId="195"/>
    <cellStyle name="Emphasis 1" xfId="196"/>
    <cellStyle name="Emphasis 2" xfId="197"/>
    <cellStyle name="Emphasis 3" xfId="198"/>
    <cellStyle name="Euro" xfId="199"/>
    <cellStyle name="Euro 2" xfId="200"/>
    <cellStyle name="Euro 3" xfId="201"/>
    <cellStyle name="Excel.Chart" xfId="202"/>
    <cellStyle name="Explanatory Text" xfId="203" builtinId="53" customBuiltin="1"/>
    <cellStyle name="Explanatory Text 2" xfId="204"/>
    <cellStyle name="Explanatory Text 2 2" xfId="2158"/>
    <cellStyle name="Explanatory Text 2 3" xfId="2023"/>
    <cellStyle name="F2" xfId="205"/>
    <cellStyle name="F3" xfId="206"/>
    <cellStyle name="F4" xfId="207"/>
    <cellStyle name="F5" xfId="208"/>
    <cellStyle name="F6" xfId="209"/>
    <cellStyle name="F7" xfId="210"/>
    <cellStyle name="F8" xfId="211"/>
    <cellStyle name="facha" xfId="212"/>
    <cellStyle name="Fecha" xfId="213"/>
    <cellStyle name="Fijo" xfId="214"/>
    <cellStyle name="Fixed" xfId="215"/>
    <cellStyle name="Fixo" xfId="216"/>
    <cellStyle name="Footnote" xfId="217"/>
    <cellStyle name="Good" xfId="218" builtinId="26" customBuiltin="1"/>
    <cellStyle name="Good 2" xfId="219"/>
    <cellStyle name="Good 2 2" xfId="2159"/>
    <cellStyle name="Good 2 3" xfId="2013"/>
    <cellStyle name="GOVDATA" xfId="220"/>
    <cellStyle name="Grey" xfId="221"/>
    <cellStyle name="Heading 1" xfId="222" builtinId="16" customBuiltin="1"/>
    <cellStyle name="Heading 1 2" xfId="223"/>
    <cellStyle name="Heading 1 2 2" xfId="2160"/>
    <cellStyle name="Heading 1 2 3" xfId="2009"/>
    <cellStyle name="Heading 2" xfId="224" builtinId="17" customBuiltin="1"/>
    <cellStyle name="Heading 2 2" xfId="225"/>
    <cellStyle name="Heading 2 2 2" xfId="2161"/>
    <cellStyle name="Heading 2 2 3" xfId="2010"/>
    <cellStyle name="Heading 3" xfId="226" builtinId="18" customBuiltin="1"/>
    <cellStyle name="Heading 3 2" xfId="227"/>
    <cellStyle name="Heading 3 2 2" xfId="2162"/>
    <cellStyle name="Heading 3 2 3" xfId="2011"/>
    <cellStyle name="Heading 4" xfId="228" builtinId="19" customBuiltin="1"/>
    <cellStyle name="Heading 4 2" xfId="229"/>
    <cellStyle name="Heading 4 2 2" xfId="2163"/>
    <cellStyle name="Heading 4 2 3" xfId="2012"/>
    <cellStyle name="Heading1" xfId="230"/>
    <cellStyle name="Heading2" xfId="231"/>
    <cellStyle name="Hipervínculo" xfId="232"/>
    <cellStyle name="Hipervínculo visitado" xfId="233"/>
    <cellStyle name="Hipervínculo_10-01-03 2003 2003 NUEVOS RON -NUEVOS INTERESES" xfId="234"/>
    <cellStyle name="Hyperlink 2" xfId="2164"/>
    <cellStyle name="Hyperlink seguido_NFGC_SPE_1995_2003" xfId="235"/>
    <cellStyle name="imf-one decimal" xfId="236"/>
    <cellStyle name="imf-zero decimal" xfId="237"/>
    <cellStyle name="Input" xfId="238" builtinId="20" customBuiltin="1"/>
    <cellStyle name="Input [yellow]" xfId="239"/>
    <cellStyle name="Input 2" xfId="240"/>
    <cellStyle name="Input 2 2" xfId="1434"/>
    <cellStyle name="Input 2 3" xfId="2016"/>
    <cellStyle name="jo[" xfId="241"/>
    <cellStyle name="Lien hypertexte" xfId="242"/>
    <cellStyle name="Lien hypertexte visité" xfId="243"/>
    <cellStyle name="Lien hypertexte_CivMon" xfId="244"/>
    <cellStyle name="Linked Cell" xfId="245" builtinId="24" customBuiltin="1"/>
    <cellStyle name="Linked Cell 2" xfId="246"/>
    <cellStyle name="Linked Cell 2 2" xfId="2165"/>
    <cellStyle name="Linked Cell 2 3" xfId="2019"/>
    <cellStyle name="MacroCode" xfId="247"/>
    <cellStyle name="Mheading1" xfId="248"/>
    <cellStyle name="Mheading2" xfId="249"/>
    <cellStyle name="Millares [0]_11.1.3. bis" xfId="250"/>
    <cellStyle name="Millares 10" xfId="251"/>
    <cellStyle name="Millares 8" xfId="252"/>
    <cellStyle name="Millares 9" xfId="253"/>
    <cellStyle name="Millares_11.1.3. bis" xfId="254"/>
    <cellStyle name="Milliers [0]_Annexe vf.xls Graphique 1" xfId="255"/>
    <cellStyle name="Milliers 10" xfId="256"/>
    <cellStyle name="Milliers 11" xfId="257"/>
    <cellStyle name="Milliers 12" xfId="258"/>
    <cellStyle name="Milliers 12 2" xfId="1435"/>
    <cellStyle name="Milliers 2" xfId="259"/>
    <cellStyle name="Milliers 2 2" xfId="260"/>
    <cellStyle name="Milliers 2 2 2" xfId="261"/>
    <cellStyle name="Milliers 2 2 2 2" xfId="1437"/>
    <cellStyle name="Milliers 2 2 3" xfId="262"/>
    <cellStyle name="Milliers 2 3" xfId="263"/>
    <cellStyle name="Milliers 2 4" xfId="1436"/>
    <cellStyle name="Milliers 3" xfId="264"/>
    <cellStyle name="Milliers 3 2" xfId="265"/>
    <cellStyle name="Milliers 3 3" xfId="266"/>
    <cellStyle name="Milliers 3 4" xfId="267"/>
    <cellStyle name="Milliers 4" xfId="268"/>
    <cellStyle name="Milliers 4 2" xfId="269"/>
    <cellStyle name="Milliers 4 2 2" xfId="270"/>
    <cellStyle name="Milliers 5" xfId="271"/>
    <cellStyle name="Milliers 5 2" xfId="272"/>
    <cellStyle name="Milliers 5 2 2" xfId="273"/>
    <cellStyle name="Milliers 5 2 2 2" xfId="274"/>
    <cellStyle name="Milliers 5 2 2 2 2" xfId="275"/>
    <cellStyle name="Milliers 5 2 2 3" xfId="276"/>
    <cellStyle name="Milliers 5 2 2 3 2" xfId="277"/>
    <cellStyle name="Milliers 5 2 2 4" xfId="278"/>
    <cellStyle name="Milliers 5 2 3" xfId="279"/>
    <cellStyle name="Milliers 5 2 3 2" xfId="280"/>
    <cellStyle name="Milliers 5 2 4" xfId="281"/>
    <cellStyle name="Milliers 5 2 4 2" xfId="282"/>
    <cellStyle name="Milliers 5 2 5" xfId="283"/>
    <cellStyle name="Milliers 6" xfId="284"/>
    <cellStyle name="Milliers 7" xfId="285"/>
    <cellStyle name="Milliers 8" xfId="286"/>
    <cellStyle name="Milliers 9" xfId="287"/>
    <cellStyle name="Milliers 9 2" xfId="288"/>
    <cellStyle name="Milliers 9 2 2" xfId="289"/>
    <cellStyle name="Milliers_Annexe vf.xls Graphique 1" xfId="290"/>
    <cellStyle name="Moeda [0]_A" xfId="291"/>
    <cellStyle name="Moeda_A" xfId="292"/>
    <cellStyle name="Moeda0" xfId="293"/>
    <cellStyle name="Moneda [0]_11.1.3. bis" xfId="294"/>
    <cellStyle name="Moneda_11.1.3. bis" xfId="295"/>
    <cellStyle name="Monétaire [0]_Annexe vf.xls Graphique 1" xfId="296"/>
    <cellStyle name="Monétaire_Annexe vf.xls Graphique 1" xfId="297"/>
    <cellStyle name="Monetario" xfId="298"/>
    <cellStyle name="Monetario0" xfId="299"/>
    <cellStyle name="Neutral" xfId="300" builtinId="28" customBuiltin="1"/>
    <cellStyle name="Neutral 2" xfId="301"/>
    <cellStyle name="Neutral 2 2" xfId="2166"/>
    <cellStyle name="Neutral 2 3" xfId="2015"/>
    <cellStyle name="Non défini" xfId="302"/>
    <cellStyle name="Normal" xfId="0" builtinId="0"/>
    <cellStyle name="Normal - Style1" xfId="303"/>
    <cellStyle name="Normal - Style2" xfId="304"/>
    <cellStyle name="Normal - Style3" xfId="305"/>
    <cellStyle name="Normal - Style4" xfId="306"/>
    <cellStyle name="Normal 10" xfId="307"/>
    <cellStyle name="Normal 10 2" xfId="308"/>
    <cellStyle name="Normal 10 2 2" xfId="309"/>
    <cellStyle name="Normal 10 2 2 2" xfId="1439"/>
    <cellStyle name="Normal 10 3" xfId="310"/>
    <cellStyle name="Normal 10 3 2" xfId="1438"/>
    <cellStyle name="Normal 10 4" xfId="2167"/>
    <cellStyle name="Normal 100" xfId="311"/>
    <cellStyle name="Normal 101" xfId="312"/>
    <cellStyle name="Normal 102" xfId="313"/>
    <cellStyle name="Normal 103" xfId="314"/>
    <cellStyle name="Normal 104" xfId="315"/>
    <cellStyle name="Normal 105" xfId="316"/>
    <cellStyle name="Normal 106" xfId="317"/>
    <cellStyle name="Normal 107" xfId="318"/>
    <cellStyle name="Normal 108" xfId="319"/>
    <cellStyle name="Normal 109" xfId="320"/>
    <cellStyle name="Normal 11" xfId="321"/>
    <cellStyle name="Normal 11 2" xfId="322"/>
    <cellStyle name="Normal 11 3" xfId="323"/>
    <cellStyle name="Normal 11 3 2" xfId="1440"/>
    <cellStyle name="Normal 11 4" xfId="1990"/>
    <cellStyle name="Normal 110" xfId="324"/>
    <cellStyle name="Normal 110 2" xfId="325"/>
    <cellStyle name="Normal 111" xfId="326"/>
    <cellStyle name="Normal 111 2" xfId="327"/>
    <cellStyle name="Normal 112" xfId="328"/>
    <cellStyle name="Normal 112 2" xfId="329"/>
    <cellStyle name="Normal 113" xfId="330"/>
    <cellStyle name="Normal 113 2" xfId="331"/>
    <cellStyle name="Normal 114" xfId="332"/>
    <cellStyle name="Normal 114 2" xfId="333"/>
    <cellStyle name="Normal 115" xfId="334"/>
    <cellStyle name="Normal 115 2" xfId="335"/>
    <cellStyle name="Normal 116" xfId="336"/>
    <cellStyle name="Normal 116 2" xfId="337"/>
    <cellStyle name="Normal 117" xfId="338"/>
    <cellStyle name="Normal 117 2" xfId="339"/>
    <cellStyle name="Normal 118" xfId="340"/>
    <cellStyle name="Normal 118 2" xfId="341"/>
    <cellStyle name="Normal 119" xfId="342"/>
    <cellStyle name="Normal 119 2" xfId="343"/>
    <cellStyle name="Normal 12" xfId="344"/>
    <cellStyle name="Normal 12 10" xfId="345"/>
    <cellStyle name="Normal 12 11" xfId="346"/>
    <cellStyle name="Normal 12 12" xfId="2169"/>
    <cellStyle name="Normal 12 13" xfId="2168"/>
    <cellStyle name="Normal 12 2" xfId="347"/>
    <cellStyle name="Normal 12 3" xfId="348"/>
    <cellStyle name="Normal 12 4" xfId="349"/>
    <cellStyle name="Normal 12 5" xfId="350"/>
    <cellStyle name="Normal 12 6" xfId="351"/>
    <cellStyle name="Normal 12 7" xfId="352"/>
    <cellStyle name="Normal 12 8" xfId="353"/>
    <cellStyle name="Normal 12 9" xfId="354"/>
    <cellStyle name="Normal 120" xfId="355"/>
    <cellStyle name="Normal 120 2" xfId="356"/>
    <cellStyle name="Normal 121" xfId="357"/>
    <cellStyle name="Normal 121 2" xfId="358"/>
    <cellStyle name="Normal 122" xfId="359"/>
    <cellStyle name="Normal 122 2" xfId="360"/>
    <cellStyle name="Normal 123" xfId="361"/>
    <cellStyle name="Normal 123 2" xfId="362"/>
    <cellStyle name="Normal 124" xfId="363"/>
    <cellStyle name="Normal 124 2" xfId="364"/>
    <cellStyle name="Normal 125" xfId="365"/>
    <cellStyle name="Normal 125 2" xfId="366"/>
    <cellStyle name="Normal 126" xfId="367"/>
    <cellStyle name="Normal 126 2" xfId="368"/>
    <cellStyle name="Normal 127" xfId="369"/>
    <cellStyle name="Normal 127 2" xfId="370"/>
    <cellStyle name="Normal 128" xfId="371"/>
    <cellStyle name="Normal 128 2" xfId="372"/>
    <cellStyle name="Normal 129" xfId="373"/>
    <cellStyle name="Normal 129 2" xfId="374"/>
    <cellStyle name="Normal 13" xfId="375"/>
    <cellStyle name="Normal 13 2" xfId="376"/>
    <cellStyle name="Normal 13 2 2" xfId="377"/>
    <cellStyle name="Normal 13 3" xfId="378"/>
    <cellStyle name="Normal 13 3 2" xfId="379"/>
    <cellStyle name="Normal 13 3 2 2" xfId="2171"/>
    <cellStyle name="Normal 13 4" xfId="380"/>
    <cellStyle name="Normal 13 5" xfId="1991"/>
    <cellStyle name="Normal 130" xfId="381"/>
    <cellStyle name="Normal 131" xfId="382"/>
    <cellStyle name="Normal 132" xfId="383"/>
    <cellStyle name="Normal 132 2" xfId="384"/>
    <cellStyle name="Normal 133" xfId="385"/>
    <cellStyle name="Normal 133 2" xfId="386"/>
    <cellStyle name="Normal 134" xfId="387"/>
    <cellStyle name="Normal 134 2" xfId="388"/>
    <cellStyle name="Normal 135" xfId="389"/>
    <cellStyle name="Normal 135 2" xfId="390"/>
    <cellStyle name="Normal 136" xfId="391"/>
    <cellStyle name="Normal 136 2" xfId="392"/>
    <cellStyle name="Normal 137" xfId="393"/>
    <cellStyle name="Normal 137 2" xfId="394"/>
    <cellStyle name="Normal 138" xfId="395"/>
    <cellStyle name="Normal 138 2" xfId="396"/>
    <cellStyle name="Normal 139" xfId="397"/>
    <cellStyle name="Normal 139 2" xfId="398"/>
    <cellStyle name="Normal 14" xfId="399"/>
    <cellStyle name="Normal 14 2" xfId="400"/>
    <cellStyle name="Normal 14 2 2" xfId="401"/>
    <cellStyle name="Normal 14 3" xfId="402"/>
    <cellStyle name="Normal 14 3 2" xfId="403"/>
    <cellStyle name="Normal 14 3 2 2" xfId="2172"/>
    <cellStyle name="Normal 14 4" xfId="404"/>
    <cellStyle name="Normal 14 5" xfId="1992"/>
    <cellStyle name="Normal 140" xfId="405"/>
    <cellStyle name="Normal 140 2" xfId="406"/>
    <cellStyle name="Normal 141" xfId="407"/>
    <cellStyle name="Normal 141 2" xfId="408"/>
    <cellStyle name="Normal 142" xfId="409"/>
    <cellStyle name="Normal 142 2" xfId="410"/>
    <cellStyle name="Normal 143" xfId="411"/>
    <cellStyle name="Normal 143 2" xfId="412"/>
    <cellStyle name="Normal 144" xfId="413"/>
    <cellStyle name="Normal 144 2" xfId="414"/>
    <cellStyle name="Normal 145" xfId="415"/>
    <cellStyle name="Normal 145 2" xfId="416"/>
    <cellStyle name="Normal 146" xfId="417"/>
    <cellStyle name="Normal 146 2" xfId="418"/>
    <cellStyle name="Normal 147" xfId="419"/>
    <cellStyle name="Normal 147 2" xfId="420"/>
    <cellStyle name="Normal 148" xfId="421"/>
    <cellStyle name="Normal 148 2" xfId="422"/>
    <cellStyle name="Normal 149" xfId="423"/>
    <cellStyle name="Normal 149 2" xfId="424"/>
    <cellStyle name="Normal 15" xfId="425"/>
    <cellStyle name="Normal 15 2" xfId="426"/>
    <cellStyle name="Normal 15 3" xfId="427"/>
    <cellStyle name="Normal 15 3 2" xfId="1441"/>
    <cellStyle name="Normal 15 4" xfId="2173"/>
    <cellStyle name="Normal 150" xfId="428"/>
    <cellStyle name="Normal 150 2" xfId="429"/>
    <cellStyle name="Normal 151" xfId="430"/>
    <cellStyle name="Normal 151 2" xfId="431"/>
    <cellStyle name="Normal 152" xfId="432"/>
    <cellStyle name="Normal 152 2" xfId="433"/>
    <cellStyle name="Normal 153" xfId="434"/>
    <cellStyle name="Normal 153 2" xfId="435"/>
    <cellStyle name="Normal 154" xfId="436"/>
    <cellStyle name="Normal 154 2" xfId="437"/>
    <cellStyle name="Normal 155" xfId="438"/>
    <cellStyle name="Normal 155 2" xfId="439"/>
    <cellStyle name="Normal 156" xfId="440"/>
    <cellStyle name="Normal 156 2" xfId="441"/>
    <cellStyle name="Normal 157" xfId="442"/>
    <cellStyle name="Normal 157 2" xfId="443"/>
    <cellStyle name="Normal 158" xfId="444"/>
    <cellStyle name="Normal 158 2" xfId="445"/>
    <cellStyle name="Normal 159" xfId="446"/>
    <cellStyle name="Normal 159 2" xfId="447"/>
    <cellStyle name="Normal 16" xfId="448"/>
    <cellStyle name="Normal 16 2" xfId="449"/>
    <cellStyle name="Normal 16 3" xfId="450"/>
    <cellStyle name="Normal 16 3 2" xfId="2175"/>
    <cellStyle name="Normal 16 3 3" xfId="1442"/>
    <cellStyle name="Normal 160" xfId="451"/>
    <cellStyle name="Normal 160 2" xfId="452"/>
    <cellStyle name="Normal 161" xfId="453"/>
    <cellStyle name="Normal 161 2" xfId="454"/>
    <cellStyle name="Normal 162" xfId="455"/>
    <cellStyle name="Normal 162 2" xfId="456"/>
    <cellStyle name="Normal 163" xfId="457"/>
    <cellStyle name="Normal 163 2" xfId="458"/>
    <cellStyle name="Normal 164" xfId="459"/>
    <cellStyle name="Normal 164 2" xfId="460"/>
    <cellStyle name="Normal 165" xfId="461"/>
    <cellStyle name="Normal 165 2" xfId="462"/>
    <cellStyle name="Normal 166" xfId="463"/>
    <cellStyle name="Normal 166 2" xfId="464"/>
    <cellStyle name="Normal 167" xfId="465"/>
    <cellStyle name="Normal 167 2" xfId="466"/>
    <cellStyle name="Normal 168" xfId="467"/>
    <cellStyle name="Normal 168 2" xfId="468"/>
    <cellStyle name="Normal 169" xfId="469"/>
    <cellStyle name="Normal 169 2" xfId="470"/>
    <cellStyle name="Normal 17" xfId="471"/>
    <cellStyle name="Normal 17 2" xfId="1993"/>
    <cellStyle name="Normal 170" xfId="472"/>
    <cellStyle name="Normal 170 2" xfId="473"/>
    <cellStyle name="Normal 171" xfId="474"/>
    <cellStyle name="Normal 171 2" xfId="475"/>
    <cellStyle name="Normal 172" xfId="476"/>
    <cellStyle name="Normal 172 2" xfId="477"/>
    <cellStyle name="Normal 173" xfId="478"/>
    <cellStyle name="Normal 173 2" xfId="479"/>
    <cellStyle name="Normal 174" xfId="480"/>
    <cellStyle name="Normal 174 2" xfId="481"/>
    <cellStyle name="Normal 175" xfId="482"/>
    <cellStyle name="Normal 175 2" xfId="483"/>
    <cellStyle name="Normal 176" xfId="484"/>
    <cellStyle name="Normal 176 2" xfId="485"/>
    <cellStyle name="Normal 177" xfId="486"/>
    <cellStyle name="Normal 177 2" xfId="487"/>
    <cellStyle name="Normal 178" xfId="488"/>
    <cellStyle name="Normal 178 2" xfId="489"/>
    <cellStyle name="Normal 179" xfId="490"/>
    <cellStyle name="Normal 179 2" xfId="491"/>
    <cellStyle name="Normal 18" xfId="492"/>
    <cellStyle name="Normal 18 2" xfId="1994"/>
    <cellStyle name="Normal 180" xfId="493"/>
    <cellStyle name="Normal 180 2" xfId="494"/>
    <cellStyle name="Normal 181" xfId="495"/>
    <cellStyle name="Normal 181 2" xfId="496"/>
    <cellStyle name="Normal 182" xfId="497"/>
    <cellStyle name="Normal 182 2" xfId="498"/>
    <cellStyle name="Normal 183" xfId="499"/>
    <cellStyle name="Normal 183 2" xfId="500"/>
    <cellStyle name="Normal 184" xfId="501"/>
    <cellStyle name="Normal 184 2" xfId="502"/>
    <cellStyle name="Normal 185" xfId="503"/>
    <cellStyle name="Normal 185 2" xfId="504"/>
    <cellStyle name="Normal 186" xfId="505"/>
    <cellStyle name="Normal 186 2" xfId="506"/>
    <cellStyle name="Normal 187" xfId="507"/>
    <cellStyle name="Normal 187 2" xfId="508"/>
    <cellStyle name="Normal 188" xfId="509"/>
    <cellStyle name="Normal 188 2" xfId="510"/>
    <cellStyle name="Normal 189" xfId="511"/>
    <cellStyle name="Normal 189 2" xfId="512"/>
    <cellStyle name="Normal 19" xfId="513"/>
    <cellStyle name="Normal 19 2" xfId="1995"/>
    <cellStyle name="Normal 190" xfId="514"/>
    <cellStyle name="Normal 190 2" xfId="515"/>
    <cellStyle name="Normal 191" xfId="516"/>
    <cellStyle name="Normal 191 2" xfId="517"/>
    <cellStyle name="Normal 192" xfId="518"/>
    <cellStyle name="Normal 192 2" xfId="519"/>
    <cellStyle name="Normal 193" xfId="520"/>
    <cellStyle name="Normal 193 2" xfId="521"/>
    <cellStyle name="Normal 194" xfId="522"/>
    <cellStyle name="Normal 194 2" xfId="523"/>
    <cellStyle name="Normal 195" xfId="524"/>
    <cellStyle name="Normal 195 2" xfId="525"/>
    <cellStyle name="Normal 196" xfId="526"/>
    <cellStyle name="Normal 196 2" xfId="527"/>
    <cellStyle name="Normal 197" xfId="528"/>
    <cellStyle name="Normal 197 2" xfId="529"/>
    <cellStyle name="Normal 198" xfId="530"/>
    <cellStyle name="Normal 198 2" xfId="531"/>
    <cellStyle name="Normal 199" xfId="532"/>
    <cellStyle name="Normal 199 2" xfId="533"/>
    <cellStyle name="Normal 2" xfId="534"/>
    <cellStyle name="Normal 2 10" xfId="535"/>
    <cellStyle name="Normal 2 10 10" xfId="1444"/>
    <cellStyle name="Normal 2 10 11" xfId="1445"/>
    <cellStyle name="Normal 2 10 12" xfId="1446"/>
    <cellStyle name="Normal 2 10 13" xfId="1447"/>
    <cellStyle name="Normal 2 10 14" xfId="1448"/>
    <cellStyle name="Normal 2 10 15" xfId="1449"/>
    <cellStyle name="Normal 2 10 16" xfId="1450"/>
    <cellStyle name="Normal 2 10 16 2" xfId="1451"/>
    <cellStyle name="Normal 2 10 16 3" xfId="1452"/>
    <cellStyle name="Normal 2 10 16 4" xfId="1453"/>
    <cellStyle name="Normal 2 10 17" xfId="1454"/>
    <cellStyle name="Normal 2 10 18" xfId="1455"/>
    <cellStyle name="Normal 2 10 19" xfId="1456"/>
    <cellStyle name="Normal 2 10 2" xfId="1457"/>
    <cellStyle name="Normal 2 10 2 10" xfId="1458"/>
    <cellStyle name="Normal 2 10 2 11" xfId="1459"/>
    <cellStyle name="Normal 2 10 2 12" xfId="1460"/>
    <cellStyle name="Normal 2 10 2 13" xfId="1461"/>
    <cellStyle name="Normal 2 10 2 14" xfId="1462"/>
    <cellStyle name="Normal 2 10 2 15" xfId="1463"/>
    <cellStyle name="Normal 2 10 2 16" xfId="1464"/>
    <cellStyle name="Normal 2 10 2 16 2" xfId="1465"/>
    <cellStyle name="Normal 2 10 2 16 3" xfId="1466"/>
    <cellStyle name="Normal 2 10 2 16 4" xfId="1467"/>
    <cellStyle name="Normal 2 10 2 17" xfId="1468"/>
    <cellStyle name="Normal 2 10 2 18" xfId="1469"/>
    <cellStyle name="Normal 2 10 2 19" xfId="1470"/>
    <cellStyle name="Normal 2 10 2 2" xfId="1471"/>
    <cellStyle name="Normal 2 10 2 2 2" xfId="1472"/>
    <cellStyle name="Normal 2 10 2 2 3" xfId="1473"/>
    <cellStyle name="Normal 2 10 2 2 4" xfId="1474"/>
    <cellStyle name="Normal 2 10 2 20" xfId="1475"/>
    <cellStyle name="Normal 2 10 2 21" xfId="1476"/>
    <cellStyle name="Normal 2 10 2 22" xfId="1477"/>
    <cellStyle name="Normal 2 10 2 3" xfId="1478"/>
    <cellStyle name="Normal 2 10 2 4" xfId="1479"/>
    <cellStyle name="Normal 2 10 2 5" xfId="1480"/>
    <cellStyle name="Normal 2 10 2 6" xfId="1481"/>
    <cellStyle name="Normal 2 10 2 7" xfId="1482"/>
    <cellStyle name="Normal 2 10 2 8" xfId="1483"/>
    <cellStyle name="Normal 2 10 2 9" xfId="1484"/>
    <cellStyle name="Normal 2 10 20" xfId="1485"/>
    <cellStyle name="Normal 2 10 21" xfId="1486"/>
    <cellStyle name="Normal 2 10 22" xfId="1443"/>
    <cellStyle name="Normal 2 10 3" xfId="1487"/>
    <cellStyle name="Normal 2 10 3 2" xfId="1488"/>
    <cellStyle name="Normal 2 10 3 3" xfId="1489"/>
    <cellStyle name="Normal 2 10 3 4" xfId="1490"/>
    <cellStyle name="Normal 2 10 4" xfId="1491"/>
    <cellStyle name="Normal 2 10 5" xfId="1492"/>
    <cellStyle name="Normal 2 10 6" xfId="1493"/>
    <cellStyle name="Normal 2 10 7" xfId="1494"/>
    <cellStyle name="Normal 2 10 8" xfId="1495"/>
    <cellStyle name="Normal 2 10 9" xfId="1496"/>
    <cellStyle name="Normal 2 11" xfId="1497"/>
    <cellStyle name="Normal 2 11 10" xfId="1498"/>
    <cellStyle name="Normal 2 11 11" xfId="1499"/>
    <cellStyle name="Normal 2 11 12" xfId="1500"/>
    <cellStyle name="Normal 2 11 13" xfId="1501"/>
    <cellStyle name="Normal 2 11 14" xfId="1502"/>
    <cellStyle name="Normal 2 11 15" xfId="1503"/>
    <cellStyle name="Normal 2 11 16" xfId="1504"/>
    <cellStyle name="Normal 2 11 16 2" xfId="1505"/>
    <cellStyle name="Normal 2 11 16 3" xfId="1506"/>
    <cellStyle name="Normal 2 11 16 4" xfId="1507"/>
    <cellStyle name="Normal 2 11 17" xfId="1508"/>
    <cellStyle name="Normal 2 11 18" xfId="1509"/>
    <cellStyle name="Normal 2 11 19" xfId="1510"/>
    <cellStyle name="Normal 2 11 2" xfId="1511"/>
    <cellStyle name="Normal 2 11 2 2" xfId="1512"/>
    <cellStyle name="Normal 2 11 2 3" xfId="1513"/>
    <cellStyle name="Normal 2 11 2 4" xfId="1514"/>
    <cellStyle name="Normal 2 11 20" xfId="1515"/>
    <cellStyle name="Normal 2 11 21" xfId="1516"/>
    <cellStyle name="Normal 2 11 22" xfId="1517"/>
    <cellStyle name="Normal 2 11 3" xfId="1518"/>
    <cellStyle name="Normal 2 11 4" xfId="1519"/>
    <cellStyle name="Normal 2 11 5" xfId="1520"/>
    <cellStyle name="Normal 2 11 6" xfId="1521"/>
    <cellStyle name="Normal 2 11 7" xfId="1522"/>
    <cellStyle name="Normal 2 11 8" xfId="1523"/>
    <cellStyle name="Normal 2 11 9" xfId="1524"/>
    <cellStyle name="Normal 2 12" xfId="1525"/>
    <cellStyle name="Normal 2 13" xfId="536"/>
    <cellStyle name="Normal 2 13 2" xfId="2176"/>
    <cellStyle name="Normal 2 14" xfId="1526"/>
    <cellStyle name="Normal 2 14 2" xfId="1527"/>
    <cellStyle name="Normal 2 14 3" xfId="1528"/>
    <cellStyle name="Normal 2 14 4" xfId="1529"/>
    <cellStyle name="Normal 2 15" xfId="1530"/>
    <cellStyle name="Normal 2 16" xfId="1531"/>
    <cellStyle name="Normal 2 17" xfId="1532"/>
    <cellStyle name="Normal 2 17 2" xfId="2177"/>
    <cellStyle name="Normal 2 18" xfId="1533"/>
    <cellStyle name="Normal 2 19" xfId="1534"/>
    <cellStyle name="Normal 2 2" xfId="537"/>
    <cellStyle name="Normal 2 2 2" xfId="538"/>
    <cellStyle name="Normal 2 2 3" xfId="539"/>
    <cellStyle name="Normal 2 2 3 2" xfId="540"/>
    <cellStyle name="Normal 2 2 3 3" xfId="541"/>
    <cellStyle name="Normal 2 2 4" xfId="542"/>
    <cellStyle name="Normal 2 2 5" xfId="543"/>
    <cellStyle name="Normal 2 2 6" xfId="544"/>
    <cellStyle name="Normal 2 2 6 2" xfId="1535"/>
    <cellStyle name="Normal 2 20" xfId="1536"/>
    <cellStyle name="Normal 2 21" xfId="1537"/>
    <cellStyle name="Normal 2 21 2" xfId="2178"/>
    <cellStyle name="Normal 2 22" xfId="1538"/>
    <cellStyle name="Normal 2 23" xfId="1539"/>
    <cellStyle name="Normal 2 24" xfId="1540"/>
    <cellStyle name="Normal 2 25" xfId="1541"/>
    <cellStyle name="Normal 2 26" xfId="1542"/>
    <cellStyle name="Normal 2 26 2" xfId="2179"/>
    <cellStyle name="Normal 2 27" xfId="1543"/>
    <cellStyle name="Normal 2 27 2" xfId="2180"/>
    <cellStyle name="Normal 2 28" xfId="1544"/>
    <cellStyle name="Normal 2 28 2" xfId="2181"/>
    <cellStyle name="Normal 2 29" xfId="1545"/>
    <cellStyle name="Normal 2 3" xfId="545"/>
    <cellStyle name="Normal 2 3 10" xfId="1546"/>
    <cellStyle name="Normal 2 3 11" xfId="1547"/>
    <cellStyle name="Normal 2 3 12" xfId="1548"/>
    <cellStyle name="Normal 2 3 13" xfId="1549"/>
    <cellStyle name="Normal 2 3 14" xfId="1550"/>
    <cellStyle name="Normal 2 3 15" xfId="1551"/>
    <cellStyle name="Normal 2 3 16" xfId="1552"/>
    <cellStyle name="Normal 2 3 17" xfId="1553"/>
    <cellStyle name="Normal 2 3 18" xfId="1554"/>
    <cellStyle name="Normal 2 3 19" xfId="1555"/>
    <cellStyle name="Normal 2 3 2" xfId="546"/>
    <cellStyle name="Normal 2 3 2 10" xfId="1556"/>
    <cellStyle name="Normal 2 3 2 11" xfId="1557"/>
    <cellStyle name="Normal 2 3 2 12" xfId="1558"/>
    <cellStyle name="Normal 2 3 2 13" xfId="1559"/>
    <cellStyle name="Normal 2 3 2 14" xfId="1560"/>
    <cellStyle name="Normal 2 3 2 15" xfId="1561"/>
    <cellStyle name="Normal 2 3 2 16" xfId="1562"/>
    <cellStyle name="Normal 2 3 2 17" xfId="1563"/>
    <cellStyle name="Normal 2 3 2 18" xfId="1564"/>
    <cellStyle name="Normal 2 3 2 19" xfId="1565"/>
    <cellStyle name="Normal 2 3 2 2" xfId="547"/>
    <cellStyle name="Normal 2 3 2 2 10" xfId="1566"/>
    <cellStyle name="Normal 2 3 2 2 11" xfId="1567"/>
    <cellStyle name="Normal 2 3 2 2 12" xfId="1568"/>
    <cellStyle name="Normal 2 3 2 2 13" xfId="1569"/>
    <cellStyle name="Normal 2 3 2 2 14" xfId="1570"/>
    <cellStyle name="Normal 2 3 2 2 15" xfId="1571"/>
    <cellStyle name="Normal 2 3 2 2 16" xfId="1572"/>
    <cellStyle name="Normal 2 3 2 2 17" xfId="1573"/>
    <cellStyle name="Normal 2 3 2 2 18" xfId="1574"/>
    <cellStyle name="Normal 2 3 2 2 19" xfId="1575"/>
    <cellStyle name="Normal 2 3 2 2 2" xfId="1576"/>
    <cellStyle name="Normal 2 3 2 2 2 10" xfId="1577"/>
    <cellStyle name="Normal 2 3 2 2 2 11" xfId="1578"/>
    <cellStyle name="Normal 2 3 2 2 2 12" xfId="1579"/>
    <cellStyle name="Normal 2 3 2 2 2 13" xfId="1580"/>
    <cellStyle name="Normal 2 3 2 2 2 14" xfId="1581"/>
    <cellStyle name="Normal 2 3 2 2 2 15" xfId="1582"/>
    <cellStyle name="Normal 2 3 2 2 2 16" xfId="1583"/>
    <cellStyle name="Normal 2 3 2 2 2 17" xfId="1584"/>
    <cellStyle name="Normal 2 3 2 2 2 18" xfId="1585"/>
    <cellStyle name="Normal 2 3 2 2 2 19" xfId="1586"/>
    <cellStyle name="Normal 2 3 2 2 2 2" xfId="1587"/>
    <cellStyle name="Normal 2 3 2 2 2 2 2" xfId="1588"/>
    <cellStyle name="Normal 2 3 2 2 2 2 3" xfId="1589"/>
    <cellStyle name="Normal 2 3 2 2 2 20" xfId="1590"/>
    <cellStyle name="Normal 2 3 2 2 2 21" xfId="1591"/>
    <cellStyle name="Normal 2 3 2 2 2 22" xfId="1592"/>
    <cellStyle name="Normal 2 3 2 2 2 3" xfId="1593"/>
    <cellStyle name="Normal 2 3 2 2 2 4" xfId="1594"/>
    <cellStyle name="Normal 2 3 2 2 2 5" xfId="1595"/>
    <cellStyle name="Normal 2 3 2 2 2 6" xfId="1596"/>
    <cellStyle name="Normal 2 3 2 2 2 7" xfId="1597"/>
    <cellStyle name="Normal 2 3 2 2 2 8" xfId="1598"/>
    <cellStyle name="Normal 2 3 2 2 2 9" xfId="1599"/>
    <cellStyle name="Normal 2 3 2 2 20" xfId="1600"/>
    <cellStyle name="Normal 2 3 2 2 21" xfId="1601"/>
    <cellStyle name="Normal 2 3 2 2 22" xfId="1602"/>
    <cellStyle name="Normal 2 3 2 2 23" xfId="1603"/>
    <cellStyle name="Normal 2 3 2 2 24" xfId="1604"/>
    <cellStyle name="Normal 2 3 2 2 25" xfId="1605"/>
    <cellStyle name="Normal 2 3 2 2 26" xfId="1606"/>
    <cellStyle name="Normal 2 3 2 2 3" xfId="1607"/>
    <cellStyle name="Normal 2 3 2 2 4" xfId="1608"/>
    <cellStyle name="Normal 2 3 2 2 5" xfId="1609"/>
    <cellStyle name="Normal 2 3 2 2 6" xfId="1610"/>
    <cellStyle name="Normal 2 3 2 2 7" xfId="1611"/>
    <cellStyle name="Normal 2 3 2 2 8" xfId="1612"/>
    <cellStyle name="Normal 2 3 2 2 8 2" xfId="1613"/>
    <cellStyle name="Normal 2 3 2 2 8 3" xfId="1614"/>
    <cellStyle name="Normal 2 3 2 2 8 4" xfId="1615"/>
    <cellStyle name="Normal 2 3 2 2 9" xfId="1616"/>
    <cellStyle name="Normal 2 3 2 20" xfId="1617"/>
    <cellStyle name="Normal 2 3 2 21" xfId="1618"/>
    <cellStyle name="Normal 2 3 2 22" xfId="1619"/>
    <cellStyle name="Normal 2 3 2 23" xfId="1620"/>
    <cellStyle name="Normal 2 3 2 24" xfId="1621"/>
    <cellStyle name="Normal 2 3 2 25" xfId="1622"/>
    <cellStyle name="Normal 2 3 2 3" xfId="1623"/>
    <cellStyle name="Normal 2 3 2 3 10" xfId="1624"/>
    <cellStyle name="Normal 2 3 2 3 11" xfId="1625"/>
    <cellStyle name="Normal 2 3 2 3 12" xfId="1626"/>
    <cellStyle name="Normal 2 3 2 3 13" xfId="1627"/>
    <cellStyle name="Normal 2 3 2 3 14" xfId="1628"/>
    <cellStyle name="Normal 2 3 2 3 15" xfId="1629"/>
    <cellStyle name="Normal 2 3 2 3 16" xfId="1630"/>
    <cellStyle name="Normal 2 3 2 3 16 2" xfId="1631"/>
    <cellStyle name="Normal 2 3 2 3 16 3" xfId="1632"/>
    <cellStyle name="Normal 2 3 2 3 16 4" xfId="1633"/>
    <cellStyle name="Normal 2 3 2 3 17" xfId="1634"/>
    <cellStyle name="Normal 2 3 2 3 18" xfId="1635"/>
    <cellStyle name="Normal 2 3 2 3 19" xfId="1636"/>
    <cellStyle name="Normal 2 3 2 3 2" xfId="1637"/>
    <cellStyle name="Normal 2 3 2 3 2 2" xfId="1638"/>
    <cellStyle name="Normal 2 3 2 3 2 3" xfId="1639"/>
    <cellStyle name="Normal 2 3 2 3 2 4" xfId="1640"/>
    <cellStyle name="Normal 2 3 2 3 20" xfId="1641"/>
    <cellStyle name="Normal 2 3 2 3 21" xfId="1642"/>
    <cellStyle name="Normal 2 3 2 3 22" xfId="1643"/>
    <cellStyle name="Normal 2 3 2 3 3" xfId="1644"/>
    <cellStyle name="Normal 2 3 2 3 4" xfId="1645"/>
    <cellStyle name="Normal 2 3 2 3 5" xfId="1646"/>
    <cellStyle name="Normal 2 3 2 3 6" xfId="1647"/>
    <cellStyle name="Normal 2 3 2 3 7" xfId="1648"/>
    <cellStyle name="Normal 2 3 2 3 8" xfId="1649"/>
    <cellStyle name="Normal 2 3 2 3 9" xfId="1650"/>
    <cellStyle name="Normal 2 3 2 4" xfId="1651"/>
    <cellStyle name="Normal 2 3 2 5" xfId="1652"/>
    <cellStyle name="Normal 2 3 2 6" xfId="1653"/>
    <cellStyle name="Normal 2 3 2 7" xfId="1654"/>
    <cellStyle name="Normal 2 3 2 8" xfId="1655"/>
    <cellStyle name="Normal 2 3 2 8 2" xfId="1656"/>
    <cellStyle name="Normal 2 3 2 8 3" xfId="1657"/>
    <cellStyle name="Normal 2 3 2 8 4" xfId="1658"/>
    <cellStyle name="Normal 2 3 2 9" xfId="1659"/>
    <cellStyle name="Normal 2 3 20" xfId="1660"/>
    <cellStyle name="Normal 2 3 21" xfId="1661"/>
    <cellStyle name="Normal 2 3 22" xfId="1662"/>
    <cellStyle name="Normal 2 3 23" xfId="1663"/>
    <cellStyle name="Normal 2 3 24" xfId="1664"/>
    <cellStyle name="Normal 2 3 25" xfId="1665"/>
    <cellStyle name="Normal 2 3 26" xfId="1666"/>
    <cellStyle name="Normal 2 3 27" xfId="1667"/>
    <cellStyle name="Normal 2 3 28" xfId="1997"/>
    <cellStyle name="Normal 2 3 3" xfId="548"/>
    <cellStyle name="Normal 2 3 3 2" xfId="549"/>
    <cellStyle name="Normal 2 3 4" xfId="550"/>
    <cellStyle name="Normal 2 3 4 10" xfId="1669"/>
    <cellStyle name="Normal 2 3 4 11" xfId="1670"/>
    <cellStyle name="Normal 2 3 4 12" xfId="1671"/>
    <cellStyle name="Normal 2 3 4 13" xfId="1672"/>
    <cellStyle name="Normal 2 3 4 14" xfId="1673"/>
    <cellStyle name="Normal 2 3 4 15" xfId="1674"/>
    <cellStyle name="Normal 2 3 4 16" xfId="1675"/>
    <cellStyle name="Normal 2 3 4 16 2" xfId="1676"/>
    <cellStyle name="Normal 2 3 4 16 3" xfId="1677"/>
    <cellStyle name="Normal 2 3 4 16 4" xfId="1678"/>
    <cellStyle name="Normal 2 3 4 17" xfId="1679"/>
    <cellStyle name="Normal 2 3 4 18" xfId="1680"/>
    <cellStyle name="Normal 2 3 4 19" xfId="1681"/>
    <cellStyle name="Normal 2 3 4 2" xfId="1682"/>
    <cellStyle name="Normal 2 3 4 2 2" xfId="1683"/>
    <cellStyle name="Normal 2 3 4 2 3" xfId="1684"/>
    <cellStyle name="Normal 2 3 4 2 4" xfId="1685"/>
    <cellStyle name="Normal 2 3 4 20" xfId="1686"/>
    <cellStyle name="Normal 2 3 4 21" xfId="1687"/>
    <cellStyle name="Normal 2 3 4 22" xfId="1688"/>
    <cellStyle name="Normal 2 3 4 23" xfId="1668"/>
    <cellStyle name="Normal 2 3 4 3" xfId="1689"/>
    <cellStyle name="Normal 2 3 4 4" xfId="1690"/>
    <cellStyle name="Normal 2 3 4 5" xfId="1691"/>
    <cellStyle name="Normal 2 3 4 6" xfId="1692"/>
    <cellStyle name="Normal 2 3 4 7" xfId="1693"/>
    <cellStyle name="Normal 2 3 4 8" xfId="1694"/>
    <cellStyle name="Normal 2 3 4 9" xfId="1695"/>
    <cellStyle name="Normal 2 3 5" xfId="1696"/>
    <cellStyle name="Normal 2 3 6" xfId="1697"/>
    <cellStyle name="Normal 2 3 7" xfId="1698"/>
    <cellStyle name="Normal 2 3 8" xfId="1699"/>
    <cellStyle name="Normal 2 3 9" xfId="1700"/>
    <cellStyle name="Normal 2 3 9 2" xfId="1701"/>
    <cellStyle name="Normal 2 3 9 3" xfId="1702"/>
    <cellStyle name="Normal 2 3 9 4" xfId="1703"/>
    <cellStyle name="Normal 2 30" xfId="1704"/>
    <cellStyle name="Normal 2 31" xfId="1705"/>
    <cellStyle name="Normal 2 32" xfId="1706"/>
    <cellStyle name="Normal 2 33" xfId="1996"/>
    <cellStyle name="Normal 2 4" xfId="551"/>
    <cellStyle name="Normal 2 4 2" xfId="552"/>
    <cellStyle name="Normal 2 4 2 2" xfId="553"/>
    <cellStyle name="Normal 2 4 3" xfId="554"/>
    <cellStyle name="Normal 2 4 3 2" xfId="555"/>
    <cellStyle name="Normal 2 4 4" xfId="556"/>
    <cellStyle name="Normal 2 4 5" xfId="557"/>
    <cellStyle name="Normal 2 5" xfId="558"/>
    <cellStyle name="Normal 2 6" xfId="559"/>
    <cellStyle name="Normal 2 6 2" xfId="560"/>
    <cellStyle name="Normal 2 6 2 2" xfId="1707"/>
    <cellStyle name="Normal 2 7" xfId="561"/>
    <cellStyle name="Normal 2 7 2" xfId="2214"/>
    <cellStyle name="Normal 2 8" xfId="562"/>
    <cellStyle name="Normal 2 8 2" xfId="1708"/>
    <cellStyle name="Normal 2 9" xfId="1709"/>
    <cellStyle name="Normal 2 9 10" xfId="1710"/>
    <cellStyle name="Normal 2 9 11" xfId="1711"/>
    <cellStyle name="Normal 2 9 12" xfId="1712"/>
    <cellStyle name="Normal 2 9 13" xfId="1713"/>
    <cellStyle name="Normal 2 9 14" xfId="1714"/>
    <cellStyle name="Normal 2 9 15" xfId="1715"/>
    <cellStyle name="Normal 2 9 16" xfId="1716"/>
    <cellStyle name="Normal 2 9 16 2" xfId="1717"/>
    <cellStyle name="Normal 2 9 16 3" xfId="1718"/>
    <cellStyle name="Normal 2 9 16 4" xfId="1719"/>
    <cellStyle name="Normal 2 9 17" xfId="1720"/>
    <cellStyle name="Normal 2 9 18" xfId="1721"/>
    <cellStyle name="Normal 2 9 19" xfId="1722"/>
    <cellStyle name="Normal 2 9 2" xfId="1723"/>
    <cellStyle name="Normal 2 9 2 10" xfId="1724"/>
    <cellStyle name="Normal 2 9 2 11" xfId="1725"/>
    <cellStyle name="Normal 2 9 2 12" xfId="1726"/>
    <cellStyle name="Normal 2 9 2 13" xfId="1727"/>
    <cellStyle name="Normal 2 9 2 14" xfId="1728"/>
    <cellStyle name="Normal 2 9 2 15" xfId="1729"/>
    <cellStyle name="Normal 2 9 2 16" xfId="1730"/>
    <cellStyle name="Normal 2 9 2 16 2" xfId="1731"/>
    <cellStyle name="Normal 2 9 2 16 3" xfId="1732"/>
    <cellStyle name="Normal 2 9 2 16 4" xfId="1733"/>
    <cellStyle name="Normal 2 9 2 17" xfId="1734"/>
    <cellStyle name="Normal 2 9 2 18" xfId="1735"/>
    <cellStyle name="Normal 2 9 2 19" xfId="1736"/>
    <cellStyle name="Normal 2 9 2 2" xfId="1737"/>
    <cellStyle name="Normal 2 9 2 2 2" xfId="1738"/>
    <cellStyle name="Normal 2 9 2 2 3" xfId="1739"/>
    <cellStyle name="Normal 2 9 2 2 4" xfId="1740"/>
    <cellStyle name="Normal 2 9 2 20" xfId="1741"/>
    <cellStyle name="Normal 2 9 2 21" xfId="1742"/>
    <cellStyle name="Normal 2 9 2 22" xfId="1743"/>
    <cellStyle name="Normal 2 9 2 3" xfId="1744"/>
    <cellStyle name="Normal 2 9 2 4" xfId="1745"/>
    <cellStyle name="Normal 2 9 2 5" xfId="1746"/>
    <cellStyle name="Normal 2 9 2 6" xfId="1747"/>
    <cellStyle name="Normal 2 9 2 7" xfId="1748"/>
    <cellStyle name="Normal 2 9 2 8" xfId="1749"/>
    <cellStyle name="Normal 2 9 2 9" xfId="1750"/>
    <cellStyle name="Normal 2 9 20" xfId="1751"/>
    <cellStyle name="Normal 2 9 21" xfId="1752"/>
    <cellStyle name="Normal 2 9 3" xfId="1753"/>
    <cellStyle name="Normal 2 9 3 2" xfId="1754"/>
    <cellStyle name="Normal 2 9 3 3" xfId="1755"/>
    <cellStyle name="Normal 2 9 3 4" xfId="1756"/>
    <cellStyle name="Normal 2 9 4" xfId="1757"/>
    <cellStyle name="Normal 2 9 5" xfId="1758"/>
    <cellStyle name="Normal 2 9 6" xfId="1759"/>
    <cellStyle name="Normal 2 9 7" xfId="1760"/>
    <cellStyle name="Normal 2 9 8" xfId="1761"/>
    <cellStyle name="Normal 2 9 9" xfId="1762"/>
    <cellStyle name="Normal 2_Stratégie émission05091-Cameroun-1" xfId="563"/>
    <cellStyle name="Normal 20" xfId="564"/>
    <cellStyle name="Normal 20 2" xfId="565"/>
    <cellStyle name="Normal 20 2 2" xfId="1998"/>
    <cellStyle name="Normal 200" xfId="566"/>
    <cellStyle name="Normal 200 2" xfId="567"/>
    <cellStyle name="Normal 201" xfId="568"/>
    <cellStyle name="Normal 201 2" xfId="569"/>
    <cellStyle name="Normal 202" xfId="570"/>
    <cellStyle name="Normal 202 2" xfId="571"/>
    <cellStyle name="Normal 203" xfId="572"/>
    <cellStyle name="Normal 203 2" xfId="573"/>
    <cellStyle name="Normal 204" xfId="574"/>
    <cellStyle name="Normal 204 2" xfId="575"/>
    <cellStyle name="Normal 205" xfId="576"/>
    <cellStyle name="Normal 205 2" xfId="577"/>
    <cellStyle name="Normal 206" xfId="578"/>
    <cellStyle name="Normal 206 2" xfId="579"/>
    <cellStyle name="Normal 207" xfId="580"/>
    <cellStyle name="Normal 207 2" xfId="581"/>
    <cellStyle name="Normal 208" xfId="582"/>
    <cellStyle name="Normal 208 2" xfId="583"/>
    <cellStyle name="Normal 209" xfId="584"/>
    <cellStyle name="Normal 209 2" xfId="585"/>
    <cellStyle name="Normal 21" xfId="586"/>
    <cellStyle name="Normal 21 2" xfId="587"/>
    <cellStyle name="Normal 21 2 2" xfId="1763"/>
    <cellStyle name="Normal 210" xfId="588"/>
    <cellStyle name="Normal 210 2" xfId="589"/>
    <cellStyle name="Normal 211" xfId="590"/>
    <cellStyle name="Normal 211 2" xfId="591"/>
    <cellStyle name="Normal 212" xfId="592"/>
    <cellStyle name="Normal 212 2" xfId="593"/>
    <cellStyle name="Normal 213" xfId="594"/>
    <cellStyle name="Normal 213 2" xfId="595"/>
    <cellStyle name="Normal 214" xfId="596"/>
    <cellStyle name="Normal 214 2" xfId="597"/>
    <cellStyle name="Normal 215" xfId="598"/>
    <cellStyle name="Normal 215 2" xfId="599"/>
    <cellStyle name="Normal 216" xfId="600"/>
    <cellStyle name="Normal 216 2" xfId="601"/>
    <cellStyle name="Normal 217" xfId="602"/>
    <cellStyle name="Normal 217 2" xfId="603"/>
    <cellStyle name="Normal 218" xfId="604"/>
    <cellStyle name="Normal 218 2" xfId="605"/>
    <cellStyle name="Normal 219" xfId="606"/>
    <cellStyle name="Normal 219 2" xfId="607"/>
    <cellStyle name="Normal 22" xfId="608"/>
    <cellStyle name="Normal 22 2" xfId="609"/>
    <cellStyle name="Normal 22 2 2" xfId="2182"/>
    <cellStyle name="Normal 22 3" xfId="1999"/>
    <cellStyle name="Normal 220" xfId="610"/>
    <cellStyle name="Normal 220 2" xfId="611"/>
    <cellStyle name="Normal 221" xfId="612"/>
    <cellStyle name="Normal 221 2" xfId="613"/>
    <cellStyle name="Normal 222" xfId="614"/>
    <cellStyle name="Normal 222 2" xfId="615"/>
    <cellStyle name="Normal 223" xfId="616"/>
    <cellStyle name="Normal 223 2" xfId="617"/>
    <cellStyle name="Normal 224" xfId="618"/>
    <cellStyle name="Normal 224 2" xfId="619"/>
    <cellStyle name="Normal 225" xfId="620"/>
    <cellStyle name="Normal 225 2" xfId="621"/>
    <cellStyle name="Normal 226" xfId="622"/>
    <cellStyle name="Normal 226 2" xfId="623"/>
    <cellStyle name="Normal 227" xfId="624"/>
    <cellStyle name="Normal 227 2" xfId="1764"/>
    <cellStyle name="Normal 228" xfId="625"/>
    <cellStyle name="Normal 228 2" xfId="1765"/>
    <cellStyle name="Normal 229" xfId="626"/>
    <cellStyle name="Normal 229 2" xfId="1766"/>
    <cellStyle name="Normal 23" xfId="627"/>
    <cellStyle name="Normal 23 2" xfId="628"/>
    <cellStyle name="Normal 23 2 2" xfId="2183"/>
    <cellStyle name="Normal 230" xfId="629"/>
    <cellStyle name="Normal 230 2" xfId="1767"/>
    <cellStyle name="Normal 231" xfId="630"/>
    <cellStyle name="Normal 231 2" xfId="1768"/>
    <cellStyle name="Normal 232" xfId="631"/>
    <cellStyle name="Normal 232 2" xfId="1769"/>
    <cellStyle name="Normal 233" xfId="632"/>
    <cellStyle name="Normal 233 2" xfId="1770"/>
    <cellStyle name="Normal 234" xfId="633"/>
    <cellStyle name="Normal 234 2" xfId="1771"/>
    <cellStyle name="Normal 235" xfId="634"/>
    <cellStyle name="Normal 235 2" xfId="1772"/>
    <cellStyle name="Normal 236" xfId="635"/>
    <cellStyle name="Normal 236 2" xfId="1773"/>
    <cellStyle name="Normal 237" xfId="636"/>
    <cellStyle name="Normal 237 2" xfId="1774"/>
    <cellStyle name="Normal 238" xfId="637"/>
    <cellStyle name="Normal 238 2" xfId="2219"/>
    <cellStyle name="Normal 239" xfId="638"/>
    <cellStyle name="Normal 239 2" xfId="2220"/>
    <cellStyle name="Normal 24" xfId="639"/>
    <cellStyle name="Normal 24 2" xfId="640"/>
    <cellStyle name="Normal 24 2 2" xfId="2184"/>
    <cellStyle name="Normal 240" xfId="641"/>
    <cellStyle name="Normal 240 2" xfId="2221"/>
    <cellStyle name="Normal 241" xfId="642"/>
    <cellStyle name="Normal 241 2" xfId="2223"/>
    <cellStyle name="Normal 242" xfId="643"/>
    <cellStyle name="Normal 242 2" xfId="2225"/>
    <cellStyle name="Normal 243" xfId="2226"/>
    <cellStyle name="Normal 244" xfId="2227"/>
    <cellStyle name="Normal 245" xfId="2228"/>
    <cellStyle name="Normal 246" xfId="2229"/>
    <cellStyle name="Normal 247" xfId="2230"/>
    <cellStyle name="Normal 248" xfId="2231"/>
    <cellStyle name="Normal 249" xfId="2240"/>
    <cellStyle name="Normal 25" xfId="644"/>
    <cellStyle name="Normal 25 2" xfId="645"/>
    <cellStyle name="Normal 25 2 2" xfId="2185"/>
    <cellStyle name="Normal 250" xfId="2241"/>
    <cellStyle name="Normal 251" xfId="1027"/>
    <cellStyle name="Normal 26" xfId="646"/>
    <cellStyle name="Normal 26 2" xfId="647"/>
    <cellStyle name="Normal 27" xfId="648"/>
    <cellStyle name="Normal 27 2" xfId="649"/>
    <cellStyle name="Normal 28" xfId="650"/>
    <cellStyle name="Normal 28 2" xfId="651"/>
    <cellStyle name="Normal 29" xfId="652"/>
    <cellStyle name="Normal 29 2" xfId="653"/>
    <cellStyle name="Normal 3" xfId="654"/>
    <cellStyle name="Normal 3 10" xfId="655"/>
    <cellStyle name="Normal 3 10 2" xfId="1776"/>
    <cellStyle name="Normal 3 10 3" xfId="1777"/>
    <cellStyle name="Normal 3 10 4" xfId="1778"/>
    <cellStyle name="Normal 3 10 5" xfId="1775"/>
    <cellStyle name="Normal 3 11" xfId="1779"/>
    <cellStyle name="Normal 3 12" xfId="1780"/>
    <cellStyle name="Normal 3 13" xfId="1781"/>
    <cellStyle name="Normal 3 14" xfId="1782"/>
    <cellStyle name="Normal 3 15" xfId="1783"/>
    <cellStyle name="Normal 3 16" xfId="2000"/>
    <cellStyle name="Normal 3 2" xfId="656"/>
    <cellStyle name="Normal 3 2 10" xfId="1784"/>
    <cellStyle name="Normal 3 2 11" xfId="1785"/>
    <cellStyle name="Normal 3 2 12" xfId="1786"/>
    <cellStyle name="Normal 3 2 13" xfId="1787"/>
    <cellStyle name="Normal 3 2 2" xfId="657"/>
    <cellStyle name="Normal 3 2 2 2" xfId="658"/>
    <cellStyle name="Normal 3 2 2 2 2" xfId="659"/>
    <cellStyle name="Normal 3 2 2 3" xfId="660"/>
    <cellStyle name="Normal 3 2 2 3 2" xfId="661"/>
    <cellStyle name="Normal 3 2 2 4" xfId="662"/>
    <cellStyle name="Normal 3 2 2 4 2" xfId="1789"/>
    <cellStyle name="Normal 3 2 2 4 3" xfId="1790"/>
    <cellStyle name="Normal 3 2 2 4 4" xfId="1791"/>
    <cellStyle name="Normal 3 2 2 4 5" xfId="1788"/>
    <cellStyle name="Normal 3 2 2 5" xfId="1792"/>
    <cellStyle name="Normal 3 2 2 5 2" xfId="1793"/>
    <cellStyle name="Normal 3 2 2 5 3" xfId="1794"/>
    <cellStyle name="Normal 3 2 2 5 4" xfId="1795"/>
    <cellStyle name="Normal 3 2 2 6" xfId="1796"/>
    <cellStyle name="Normal 3 2 2 7" xfId="1797"/>
    <cellStyle name="Normal 3 2 2 8" xfId="1798"/>
    <cellStyle name="Normal 3 2 3" xfId="663"/>
    <cellStyle name="Normal 3 2 3 2" xfId="664"/>
    <cellStyle name="Normal 3 2 3 2 2" xfId="665"/>
    <cellStyle name="Normal 3 2 3 3" xfId="666"/>
    <cellStyle name="Normal 3 2 3 3 2" xfId="667"/>
    <cellStyle name="Normal 3 2 3 4" xfId="668"/>
    <cellStyle name="Normal 3 2 4" xfId="669"/>
    <cellStyle name="Normal 3 2 4 2" xfId="670"/>
    <cellStyle name="Normal 3 2 4 2 2" xfId="671"/>
    <cellStyle name="Normal 3 2 4 3" xfId="672"/>
    <cellStyle name="Normal 3 2 4 3 2" xfId="673"/>
    <cellStyle name="Normal 3 2 4 4" xfId="674"/>
    <cellStyle name="Normal 3 2 5" xfId="675"/>
    <cellStyle name="Normal 3 2 5 2" xfId="676"/>
    <cellStyle name="Normal 3 2 5 2 2" xfId="677"/>
    <cellStyle name="Normal 3 2 5 3" xfId="678"/>
    <cellStyle name="Normal 3 2 5 3 2" xfId="679"/>
    <cellStyle name="Normal 3 2 5 4" xfId="680"/>
    <cellStyle name="Normal 3 2 6" xfId="681"/>
    <cellStyle name="Normal 3 2 6 2" xfId="682"/>
    <cellStyle name="Normal 3 2 7" xfId="683"/>
    <cellStyle name="Normal 3 2 7 2" xfId="684"/>
    <cellStyle name="Normal 3 2 8" xfId="1799"/>
    <cellStyle name="Normal 3 2 8 2" xfId="1800"/>
    <cellStyle name="Normal 3 2 8 3" xfId="1801"/>
    <cellStyle name="Normal 3 2 8 4" xfId="1802"/>
    <cellStyle name="Normal 3 2 9" xfId="1803"/>
    <cellStyle name="Normal 3 2 9 2" xfId="1804"/>
    <cellStyle name="Normal 3 2 9 3" xfId="1805"/>
    <cellStyle name="Normal 3 2 9 4" xfId="1806"/>
    <cellStyle name="Normal 3 3" xfId="685"/>
    <cellStyle name="Normal 3 3 10" xfId="1807"/>
    <cellStyle name="Normal 3 3 2" xfId="686"/>
    <cellStyle name="Normal 3 3 2 2" xfId="687"/>
    <cellStyle name="Normal 3 3 3" xfId="688"/>
    <cellStyle name="Normal 3 3 3 2" xfId="689"/>
    <cellStyle name="Normal 3 3 4" xfId="690"/>
    <cellStyle name="Normal 3 3 4 2" xfId="691"/>
    <cellStyle name="Normal 3 3 5" xfId="692"/>
    <cellStyle name="Normal 3 3 5 2" xfId="693"/>
    <cellStyle name="Normal 3 3 6" xfId="694"/>
    <cellStyle name="Normal 3 3 6 2" xfId="695"/>
    <cellStyle name="Normal 3 3 7" xfId="696"/>
    <cellStyle name="Normal 3 3 7 2" xfId="697"/>
    <cellStyle name="Normal 3 3 8" xfId="1808"/>
    <cellStyle name="Normal 3 3 9" xfId="1809"/>
    <cellStyle name="Normal 3 4" xfId="698"/>
    <cellStyle name="Normal 3 5" xfId="699"/>
    <cellStyle name="Normal 3 6" xfId="700"/>
    <cellStyle name="Normal 3 6 2" xfId="701"/>
    <cellStyle name="Normal 3 6 2 2" xfId="1810"/>
    <cellStyle name="Normal 3 7" xfId="702"/>
    <cellStyle name="Normal 3 7 2" xfId="1811"/>
    <cellStyle name="Normal 3 8" xfId="703"/>
    <cellStyle name="Normal 3 8 2" xfId="2186"/>
    <cellStyle name="Normal 3 8 3" xfId="1812"/>
    <cellStyle name="Normal 3 9" xfId="704"/>
    <cellStyle name="Normal 3 9 2" xfId="1814"/>
    <cellStyle name="Normal 3 9 3" xfId="1815"/>
    <cellStyle name="Normal 3 9 4" xfId="1816"/>
    <cellStyle name="Normal 3 9 5" xfId="1813"/>
    <cellStyle name="Normal 30" xfId="705"/>
    <cellStyle name="Normal 30 2" xfId="706"/>
    <cellStyle name="Normal 31" xfId="707"/>
    <cellStyle name="Normal 31 2" xfId="708"/>
    <cellStyle name="Normal 32" xfId="709"/>
    <cellStyle name="Normal 32 2" xfId="710"/>
    <cellStyle name="Normal 33" xfId="711"/>
    <cellStyle name="Normal 33 2" xfId="712"/>
    <cellStyle name="Normal 34" xfId="713"/>
    <cellStyle name="Normal 34 2" xfId="714"/>
    <cellStyle name="Normal 35" xfId="715"/>
    <cellStyle name="Normal 35 2" xfId="716"/>
    <cellStyle name="Normal 36" xfId="717"/>
    <cellStyle name="Normal 36 2" xfId="718"/>
    <cellStyle name="Normal 37" xfId="719"/>
    <cellStyle name="Normal 37 2" xfId="720"/>
    <cellStyle name="Normal 38" xfId="721"/>
    <cellStyle name="Normal 38 2" xfId="722"/>
    <cellStyle name="Normal 39" xfId="723"/>
    <cellStyle name="Normal 39 2" xfId="724"/>
    <cellStyle name="Normal 4" xfId="725"/>
    <cellStyle name="Normal 4 2" xfId="726"/>
    <cellStyle name="Normal 4 2 10" xfId="1819"/>
    <cellStyle name="Normal 4 2 10 2" xfId="1820"/>
    <cellStyle name="Normal 4 2 10 3" xfId="1821"/>
    <cellStyle name="Normal 4 2 10 4" xfId="1822"/>
    <cellStyle name="Normal 4 2 11" xfId="1823"/>
    <cellStyle name="Normal 4 2 12" xfId="1824"/>
    <cellStyle name="Normal 4 2 13" xfId="1825"/>
    <cellStyle name="Normal 4 2 14" xfId="1826"/>
    <cellStyle name="Normal 4 2 15" xfId="1827"/>
    <cellStyle name="Normal 4 2 16" xfId="1828"/>
    <cellStyle name="Normal 4 2 17" xfId="1829"/>
    <cellStyle name="Normal 4 2 18" xfId="1830"/>
    <cellStyle name="Normal 4 2 19" xfId="1831"/>
    <cellStyle name="Normal 4 2 2" xfId="727"/>
    <cellStyle name="Normal 4 2 2 10" xfId="1832"/>
    <cellStyle name="Normal 4 2 2 11" xfId="1833"/>
    <cellStyle name="Normal 4 2 2 12" xfId="1834"/>
    <cellStyle name="Normal 4 2 2 13" xfId="1835"/>
    <cellStyle name="Normal 4 2 2 14" xfId="1836"/>
    <cellStyle name="Normal 4 2 2 15" xfId="1837"/>
    <cellStyle name="Normal 4 2 2 16" xfId="1838"/>
    <cellStyle name="Normal 4 2 2 17" xfId="1839"/>
    <cellStyle name="Normal 4 2 2 18" xfId="1840"/>
    <cellStyle name="Normal 4 2 2 19" xfId="1841"/>
    <cellStyle name="Normal 4 2 2 2" xfId="1842"/>
    <cellStyle name="Normal 4 2 2 2 10" xfId="1843"/>
    <cellStyle name="Normal 4 2 2 2 11" xfId="1844"/>
    <cellStyle name="Normal 4 2 2 2 12" xfId="1845"/>
    <cellStyle name="Normal 4 2 2 2 13" xfId="1846"/>
    <cellStyle name="Normal 4 2 2 2 14" xfId="1847"/>
    <cellStyle name="Normal 4 2 2 2 15" xfId="1848"/>
    <cellStyle name="Normal 4 2 2 2 16" xfId="1849"/>
    <cellStyle name="Normal 4 2 2 2 16 2" xfId="1850"/>
    <cellStyle name="Normal 4 2 2 2 16 3" xfId="1851"/>
    <cellStyle name="Normal 4 2 2 2 16 4" xfId="1852"/>
    <cellStyle name="Normal 4 2 2 2 17" xfId="1853"/>
    <cellStyle name="Normal 4 2 2 2 18" xfId="1854"/>
    <cellStyle name="Normal 4 2 2 2 19" xfId="1855"/>
    <cellStyle name="Normal 4 2 2 2 2" xfId="1856"/>
    <cellStyle name="Normal 4 2 2 2 2 2" xfId="1857"/>
    <cellStyle name="Normal 4 2 2 2 2 3" xfId="1858"/>
    <cellStyle name="Normal 4 2 2 2 2 4" xfId="1859"/>
    <cellStyle name="Normal 4 2 2 2 20" xfId="1860"/>
    <cellStyle name="Normal 4 2 2 2 21" xfId="1861"/>
    <cellStyle name="Normal 4 2 2 2 22" xfId="1862"/>
    <cellStyle name="Normal 4 2 2 2 3" xfId="1863"/>
    <cellStyle name="Normal 4 2 2 2 4" xfId="1864"/>
    <cellStyle name="Normal 4 2 2 2 5" xfId="1865"/>
    <cellStyle name="Normal 4 2 2 2 6" xfId="1866"/>
    <cellStyle name="Normal 4 2 2 2 7" xfId="1867"/>
    <cellStyle name="Normal 4 2 2 2 8" xfId="1868"/>
    <cellStyle name="Normal 4 2 2 2 9" xfId="1869"/>
    <cellStyle name="Normal 4 2 2 20" xfId="1870"/>
    <cellStyle name="Normal 4 2 2 21" xfId="1871"/>
    <cellStyle name="Normal 4 2 2 21 2" xfId="1872"/>
    <cellStyle name="Normal 4 2 2 21 3" xfId="1873"/>
    <cellStyle name="Normal 4 2 2 21 4" xfId="1874"/>
    <cellStyle name="Normal 4 2 2 22" xfId="1875"/>
    <cellStyle name="Normal 4 2 2 23" xfId="1876"/>
    <cellStyle name="Normal 4 2 2 24" xfId="1877"/>
    <cellStyle name="Normal 4 2 2 25" xfId="1878"/>
    <cellStyle name="Normal 4 2 2 26" xfId="1879"/>
    <cellStyle name="Normal 4 2 2 3" xfId="1880"/>
    <cellStyle name="Normal 4 2 2 4" xfId="1881"/>
    <cellStyle name="Normal 4 2 2 5" xfId="1882"/>
    <cellStyle name="Normal 4 2 2 6" xfId="1883"/>
    <cellStyle name="Normal 4 2 2 7" xfId="1884"/>
    <cellStyle name="Normal 4 2 2 8" xfId="1885"/>
    <cellStyle name="Normal 4 2 2 8 2" xfId="1886"/>
    <cellStyle name="Normal 4 2 2 8 3" xfId="1887"/>
    <cellStyle name="Normal 4 2 2 8 4" xfId="1888"/>
    <cellStyle name="Normal 4 2 2 9" xfId="1889"/>
    <cellStyle name="Normal 4 2 20" xfId="1890"/>
    <cellStyle name="Normal 4 2 21" xfId="1891"/>
    <cellStyle name="Normal 4 2 22" xfId="1892"/>
    <cellStyle name="Normal 4 2 23" xfId="1893"/>
    <cellStyle name="Normal 4 2 23 2" xfId="1894"/>
    <cellStyle name="Normal 4 2 23 3" xfId="1895"/>
    <cellStyle name="Normal 4 2 23 4" xfId="1896"/>
    <cellStyle name="Normal 4 2 24" xfId="1897"/>
    <cellStyle name="Normal 4 2 25" xfId="1898"/>
    <cellStyle name="Normal 4 2 26" xfId="1899"/>
    <cellStyle name="Normal 4 2 27" xfId="1900"/>
    <cellStyle name="Normal 4 2 28" xfId="1818"/>
    <cellStyle name="Normal 4 2 3" xfId="728"/>
    <cellStyle name="Normal 4 2 4" xfId="729"/>
    <cellStyle name="Normal 4 2 5" xfId="730"/>
    <cellStyle name="Normal 4 2 5 10" xfId="1902"/>
    <cellStyle name="Normal 4 2 5 11" xfId="1903"/>
    <cellStyle name="Normal 4 2 5 12" xfId="1904"/>
    <cellStyle name="Normal 4 2 5 13" xfId="1905"/>
    <cellStyle name="Normal 4 2 5 14" xfId="1906"/>
    <cellStyle name="Normal 4 2 5 15" xfId="1907"/>
    <cellStyle name="Normal 4 2 5 16" xfId="1908"/>
    <cellStyle name="Normal 4 2 5 16 2" xfId="1909"/>
    <cellStyle name="Normal 4 2 5 16 3" xfId="1910"/>
    <cellStyle name="Normal 4 2 5 16 4" xfId="1911"/>
    <cellStyle name="Normal 4 2 5 17" xfId="1912"/>
    <cellStyle name="Normal 4 2 5 18" xfId="1913"/>
    <cellStyle name="Normal 4 2 5 19" xfId="1914"/>
    <cellStyle name="Normal 4 2 5 2" xfId="1915"/>
    <cellStyle name="Normal 4 2 5 2 2" xfId="1916"/>
    <cellStyle name="Normal 4 2 5 2 3" xfId="1917"/>
    <cellStyle name="Normal 4 2 5 2 4" xfId="1918"/>
    <cellStyle name="Normal 4 2 5 20" xfId="1919"/>
    <cellStyle name="Normal 4 2 5 21" xfId="1920"/>
    <cellStyle name="Normal 4 2 5 22" xfId="1921"/>
    <cellStyle name="Normal 4 2 5 23" xfId="1901"/>
    <cellStyle name="Normal 4 2 5 3" xfId="1922"/>
    <cellStyle name="Normal 4 2 5 4" xfId="1923"/>
    <cellStyle name="Normal 4 2 5 5" xfId="1924"/>
    <cellStyle name="Normal 4 2 5 6" xfId="1925"/>
    <cellStyle name="Normal 4 2 5 7" xfId="1926"/>
    <cellStyle name="Normal 4 2 5 8" xfId="1927"/>
    <cellStyle name="Normal 4 2 5 9" xfId="1928"/>
    <cellStyle name="Normal 4 2 6" xfId="1929"/>
    <cellStyle name="Normal 4 2 7" xfId="1930"/>
    <cellStyle name="Normal 4 2 8" xfId="1931"/>
    <cellStyle name="Normal 4 2 9" xfId="1932"/>
    <cellStyle name="Normal 4 3" xfId="731"/>
    <cellStyle name="Normal 4 4" xfId="732"/>
    <cellStyle name="Normal 4 4 2" xfId="733"/>
    <cellStyle name="Normal 4 5" xfId="734"/>
    <cellStyle name="Normal 4 5 2" xfId="735"/>
    <cellStyle name="Normal 4 5 3" xfId="1933"/>
    <cellStyle name="Normal 4 6" xfId="736"/>
    <cellStyle name="Normal 4 6 2" xfId="1817"/>
    <cellStyle name="Normal 40" xfId="737"/>
    <cellStyle name="Normal 40 2" xfId="738"/>
    <cellStyle name="Normal 41" xfId="739"/>
    <cellStyle name="Normal 41 2" xfId="740"/>
    <cellStyle name="Normal 42" xfId="741"/>
    <cellStyle name="Normal 42 2" xfId="742"/>
    <cellStyle name="Normal 43" xfId="743"/>
    <cellStyle name="Normal 43 2" xfId="744"/>
    <cellStyle name="Normal 44" xfId="745"/>
    <cellStyle name="Normal 44 2" xfId="746"/>
    <cellStyle name="Normal 45" xfId="747"/>
    <cellStyle name="Normal 45 2" xfId="748"/>
    <cellStyle name="Normal 46" xfId="749"/>
    <cellStyle name="Normal 46 2" xfId="750"/>
    <cellStyle name="Normal 47" xfId="751"/>
    <cellStyle name="Normal 47 2" xfId="752"/>
    <cellStyle name="Normal 48" xfId="753"/>
    <cellStyle name="Normal 48 2" xfId="754"/>
    <cellStyle name="Normal 49" xfId="755"/>
    <cellStyle name="Normal 49 2" xfId="756"/>
    <cellStyle name="Normal 5" xfId="757"/>
    <cellStyle name="Normal 5 2" xfId="758"/>
    <cellStyle name="Normal 5 2 2" xfId="759"/>
    <cellStyle name="Normal 5 2 3" xfId="760"/>
    <cellStyle name="Normal 5 3" xfId="761"/>
    <cellStyle name="Normal 5 3 2" xfId="762"/>
    <cellStyle name="Normal 5 4" xfId="763"/>
    <cellStyle name="Normal 5 4 2" xfId="764"/>
    <cellStyle name="Normal 5 5" xfId="765"/>
    <cellStyle name="Normal 5 6" xfId="766"/>
    <cellStyle name="Normal 50" xfId="767"/>
    <cellStyle name="Normal 50 2" xfId="768"/>
    <cellStyle name="Normal 51" xfId="769"/>
    <cellStyle name="Normal 51 2" xfId="770"/>
    <cellStyle name="Normal 52" xfId="771"/>
    <cellStyle name="Normal 52 2" xfId="772"/>
    <cellStyle name="Normal 53" xfId="773"/>
    <cellStyle name="Normal 53 2" xfId="774"/>
    <cellStyle name="Normal 54" xfId="775"/>
    <cellStyle name="Normal 54 2" xfId="776"/>
    <cellStyle name="Normal 55" xfId="777"/>
    <cellStyle name="Normal 55 2" xfId="778"/>
    <cellStyle name="Normal 56" xfId="779"/>
    <cellStyle name="Normal 56 2" xfId="780"/>
    <cellStyle name="Normal 57" xfId="781"/>
    <cellStyle name="Normal 57 2" xfId="782"/>
    <cellStyle name="Normal 58" xfId="783"/>
    <cellStyle name="Normal 58 2" xfId="784"/>
    <cellStyle name="Normal 59" xfId="785"/>
    <cellStyle name="Normal 59 2" xfId="786"/>
    <cellStyle name="Normal 6" xfId="787"/>
    <cellStyle name="Normal 6 2" xfId="788"/>
    <cellStyle name="Normal 6 3" xfId="789"/>
    <cellStyle name="Normal 6 4" xfId="790"/>
    <cellStyle name="Normal 6 4 2" xfId="2188"/>
    <cellStyle name="Normal 6 4 3" xfId="1934"/>
    <cellStyle name="Normal 60" xfId="791"/>
    <cellStyle name="Normal 60 2" xfId="792"/>
    <cellStyle name="Normal 61" xfId="793"/>
    <cellStyle name="Normal 61 2" xfId="794"/>
    <cellStyle name="Normal 62" xfId="795"/>
    <cellStyle name="Normal 62 2" xfId="796"/>
    <cellStyle name="Normal 63" xfId="797"/>
    <cellStyle name="Normal 63 2" xfId="798"/>
    <cellStyle name="Normal 64" xfId="799"/>
    <cellStyle name="Normal 64 2" xfId="800"/>
    <cellStyle name="Normal 65" xfId="801"/>
    <cellStyle name="Normal 65 2" xfId="802"/>
    <cellStyle name="Normal 66" xfId="803"/>
    <cellStyle name="Normal 66 2" xfId="804"/>
    <cellStyle name="Normal 67" xfId="805"/>
    <cellStyle name="Normal 67 2" xfId="806"/>
    <cellStyle name="Normal 68" xfId="807"/>
    <cellStyle name="Normal 68 2" xfId="808"/>
    <cellStyle name="Normal 69" xfId="809"/>
    <cellStyle name="Normal 69 2" xfId="810"/>
    <cellStyle name="Normal 7" xfId="811"/>
    <cellStyle name="Normal 7 2" xfId="812"/>
    <cellStyle name="Normal 7 2 2" xfId="813"/>
    <cellStyle name="Normal 7 3" xfId="814"/>
    <cellStyle name="Normal 7 4" xfId="815"/>
    <cellStyle name="Normal 7 5" xfId="816"/>
    <cellStyle name="Normal 7 6" xfId="817"/>
    <cellStyle name="Normal 7 6 2" xfId="2190"/>
    <cellStyle name="Normal 7 6 3" xfId="1935"/>
    <cellStyle name="Normal 7 7" xfId="2189"/>
    <cellStyle name="Normal 70" xfId="818"/>
    <cellStyle name="Normal 70 2" xfId="819"/>
    <cellStyle name="Normal 71" xfId="820"/>
    <cellStyle name="Normal 71 2" xfId="821"/>
    <cellStyle name="Normal 72" xfId="822"/>
    <cellStyle name="Normal 72 2" xfId="823"/>
    <cellStyle name="Normal 73" xfId="824"/>
    <cellStyle name="Normal 73 2" xfId="825"/>
    <cellStyle name="Normal 74" xfId="826"/>
    <cellStyle name="Normal 74 2" xfId="827"/>
    <cellStyle name="Normal 75" xfId="828"/>
    <cellStyle name="Normal 75 2" xfId="829"/>
    <cellStyle name="Normal 76" xfId="830"/>
    <cellStyle name="Normal 76 2" xfId="831"/>
    <cellStyle name="Normal 77" xfId="832"/>
    <cellStyle name="Normal 77 2" xfId="833"/>
    <cellStyle name="Normal 78" xfId="834"/>
    <cellStyle name="Normal 78 2" xfId="835"/>
    <cellStyle name="Normal 79" xfId="836"/>
    <cellStyle name="Normal 79 2" xfId="837"/>
    <cellStyle name="Normal 8" xfId="838"/>
    <cellStyle name="Normal 8 2" xfId="839"/>
    <cellStyle name="Normal 8 3" xfId="840"/>
    <cellStyle name="Normal 8 4" xfId="841"/>
    <cellStyle name="Normal 8 4 2" xfId="2191"/>
    <cellStyle name="Normal 8 4 3" xfId="1936"/>
    <cellStyle name="Normal 80" xfId="842"/>
    <cellStyle name="Normal 80 2" xfId="843"/>
    <cellStyle name="Normal 81" xfId="844"/>
    <cellStyle name="Normal 81 2" xfId="845"/>
    <cellStyle name="Normal 82" xfId="846"/>
    <cellStyle name="Normal 82 2" xfId="847"/>
    <cellStyle name="Normal 83" xfId="848"/>
    <cellStyle name="Normal 83 2" xfId="849"/>
    <cellStyle name="Normal 84" xfId="850"/>
    <cellStyle name="Normal 84 2" xfId="851"/>
    <cellStyle name="Normal 85" xfId="852"/>
    <cellStyle name="Normal 85 2" xfId="853"/>
    <cellStyle name="Normal 86" xfId="854"/>
    <cellStyle name="Normal 86 2" xfId="855"/>
    <cellStyle name="Normal 87" xfId="856"/>
    <cellStyle name="Normal 87 2" xfId="857"/>
    <cellStyle name="Normal 88" xfId="858"/>
    <cellStyle name="Normal 88 2" xfId="859"/>
    <cellStyle name="Normal 89" xfId="860"/>
    <cellStyle name="Normal 89 2" xfId="861"/>
    <cellStyle name="Normal 9" xfId="862"/>
    <cellStyle name="Normal 9 2" xfId="863"/>
    <cellStyle name="Normal 9 3" xfId="864"/>
    <cellStyle name="Normal 9 3 2" xfId="2193"/>
    <cellStyle name="Normal 9 3 3" xfId="1937"/>
    <cellStyle name="Normal 9 4" xfId="2192"/>
    <cellStyle name="Normal 9 5" xfId="2001"/>
    <cellStyle name="Normal 90" xfId="865"/>
    <cellStyle name="Normal 90 2" xfId="866"/>
    <cellStyle name="Normal 91" xfId="867"/>
    <cellStyle name="Normal 91 2" xfId="868"/>
    <cellStyle name="Normal 92" xfId="869"/>
    <cellStyle name="Normal 92 2" xfId="870"/>
    <cellStyle name="Normal 93" xfId="871"/>
    <cellStyle name="Normal 93 2" xfId="872"/>
    <cellStyle name="Normal 94" xfId="873"/>
    <cellStyle name="Normal 94 2" xfId="874"/>
    <cellStyle name="Normal 95" xfId="875"/>
    <cellStyle name="Normal 95 2" xfId="876"/>
    <cellStyle name="Normal 96" xfId="877"/>
    <cellStyle name="Normal 96 2" xfId="878"/>
    <cellStyle name="Normal 97" xfId="879"/>
    <cellStyle name="Normal 97 2" xfId="880"/>
    <cellStyle name="Normal 98" xfId="881"/>
    <cellStyle name="Normal 98 2" xfId="882"/>
    <cellStyle name="Normal 99" xfId="883"/>
    <cellStyle name="Normal Table" xfId="884"/>
    <cellStyle name="Note 2" xfId="885"/>
    <cellStyle name="Note 2 2" xfId="1938"/>
    <cellStyle name="Note 2 3" xfId="2022"/>
    <cellStyle name="Note 3" xfId="886"/>
    <cellStyle name="Of which" xfId="887"/>
    <cellStyle name="Output" xfId="888" builtinId="21" customBuiltin="1"/>
    <cellStyle name="Output 2" xfId="889"/>
    <cellStyle name="Output 2 2" xfId="1939"/>
    <cellStyle name="Output 2 3" xfId="2017"/>
    <cellStyle name="Percent" xfId="890"/>
    <cellStyle name="Percent [2]" xfId="891"/>
    <cellStyle name="Percent 10" xfId="892"/>
    <cellStyle name="Percent 10 2" xfId="893"/>
    <cellStyle name="Percent 10 2 2" xfId="2196"/>
    <cellStyle name="Percent 10 3" xfId="2195"/>
    <cellStyle name="Percent 10 4" xfId="1940"/>
    <cellStyle name="Percent 11" xfId="894"/>
    <cellStyle name="Percent 11 2" xfId="895"/>
    <cellStyle name="Percent 11 2 2" xfId="2197"/>
    <cellStyle name="Percent 11 3" xfId="1941"/>
    <cellStyle name="Percent 12" xfId="896"/>
    <cellStyle name="Percent 12 2" xfId="897"/>
    <cellStyle name="Percent 12 2 2" xfId="2194"/>
    <cellStyle name="Percent 12 3" xfId="1942"/>
    <cellStyle name="Percent 13" xfId="898"/>
    <cellStyle name="Percent 13 2" xfId="1943"/>
    <cellStyle name="Percent 14" xfId="899"/>
    <cellStyle name="Percent 14 2" xfId="1944"/>
    <cellStyle name="Percent 15" xfId="900"/>
    <cellStyle name="Percent 15 2" xfId="1945"/>
    <cellStyle name="Percent 16" xfId="901"/>
    <cellStyle name="Percent 16 2" xfId="1946"/>
    <cellStyle name="Percent 17" xfId="902"/>
    <cellStyle name="Percent 17 2" xfId="1947"/>
    <cellStyle name="Percent 18" xfId="903"/>
    <cellStyle name="Percent 19" xfId="904"/>
    <cellStyle name="Percent 2" xfId="905"/>
    <cellStyle name="Percent 2 2" xfId="906"/>
    <cellStyle name="Percent 2 3" xfId="907"/>
    <cellStyle name="Percent 2 3 2" xfId="1950"/>
    <cellStyle name="Percent 2 3 3" xfId="1949"/>
    <cellStyle name="Percent 2 4" xfId="1951"/>
    <cellStyle name="Percent 2 4 2" xfId="1952"/>
    <cellStyle name="Percent 2 4 3" xfId="1953"/>
    <cellStyle name="Percent 2 4 4" xfId="1954"/>
    <cellStyle name="Percent 2 4 5" xfId="1955"/>
    <cellStyle name="Percent 2 5" xfId="1956"/>
    <cellStyle name="Percent 2 6" xfId="1948"/>
    <cellStyle name="Percent 20" xfId="908"/>
    <cellStyle name="Percent 21" xfId="909"/>
    <cellStyle name="Percent 22" xfId="1030"/>
    <cellStyle name="Percent 3" xfId="910"/>
    <cellStyle name="Percent 3 2" xfId="911"/>
    <cellStyle name="Percent 3 3" xfId="1957"/>
    <cellStyle name="Percent 3 3 2" xfId="2199"/>
    <cellStyle name="Percent 3 4" xfId="2198"/>
    <cellStyle name="Percent 3 5" xfId="2003"/>
    <cellStyle name="Percent 4" xfId="912"/>
    <cellStyle name="Percent 4 2" xfId="913"/>
    <cellStyle name="Percent 4 2 2" xfId="1959"/>
    <cellStyle name="Percent 4 2 2 2" xfId="1960"/>
    <cellStyle name="Percent 4 2 2 2 2" xfId="1961"/>
    <cellStyle name="Percent 4 2 2 2 3" xfId="1962"/>
    <cellStyle name="Percent 4 2 2 3" xfId="1963"/>
    <cellStyle name="Percent 4 2 3" xfId="1964"/>
    <cellStyle name="Percent 4 2 3 2" xfId="1965"/>
    <cellStyle name="Percent 4 2 3 3" xfId="1966"/>
    <cellStyle name="Percent 4 2 3 4" xfId="1967"/>
    <cellStyle name="Percent 4 2 4" xfId="1968"/>
    <cellStyle name="Percent 4 2 5" xfId="1969"/>
    <cellStyle name="Percent 4 2 6" xfId="1970"/>
    <cellStyle name="Percent 4 3" xfId="914"/>
    <cellStyle name="Percent 4 3 2" xfId="1972"/>
    <cellStyle name="Percent 4 3 3" xfId="1973"/>
    <cellStyle name="Percent 4 3 4" xfId="1974"/>
    <cellStyle name="Percent 4 3 5" xfId="2201"/>
    <cellStyle name="Percent 4 3 6" xfId="1971"/>
    <cellStyle name="Percent 4 4" xfId="1975"/>
    <cellStyle name="Percent 4 4 2" xfId="1976"/>
    <cellStyle name="Percent 4 4 3" xfId="1977"/>
    <cellStyle name="Percent 4 4 4" xfId="1978"/>
    <cellStyle name="Percent 4 5" xfId="1979"/>
    <cellStyle name="Percent 4 6" xfId="1958"/>
    <cellStyle name="Percent 4 7" xfId="2200"/>
    <cellStyle name="Percent 5" xfId="915"/>
    <cellStyle name="Percent 5 2" xfId="916"/>
    <cellStyle name="Percent 5 2 2" xfId="1980"/>
    <cellStyle name="Percent 5 3" xfId="917"/>
    <cellStyle name="Percent 6" xfId="918"/>
    <cellStyle name="Percent 6 2" xfId="919"/>
    <cellStyle name="Percent 6 2 2" xfId="2202"/>
    <cellStyle name="Percent 6 2 3" xfId="1981"/>
    <cellStyle name="Percent 6 3" xfId="920"/>
    <cellStyle name="Percent 7" xfId="921"/>
    <cellStyle name="Percent 7 2" xfId="922"/>
    <cellStyle name="Percent 7 2 2" xfId="2205"/>
    <cellStyle name="Percent 7 2 3" xfId="2204"/>
    <cellStyle name="Percent 7 3" xfId="923"/>
    <cellStyle name="Percent 7 3 2" xfId="2206"/>
    <cellStyle name="Percent 7 3 3" xfId="1982"/>
    <cellStyle name="Percent 7 4" xfId="2203"/>
    <cellStyle name="Percent 8" xfId="924"/>
    <cellStyle name="Percent 8 2" xfId="925"/>
    <cellStyle name="Percent 8 2 2" xfId="2207"/>
    <cellStyle name="Percent 8 2 3" xfId="1983"/>
    <cellStyle name="Percent 9" xfId="926"/>
    <cellStyle name="Percent 9 2" xfId="927"/>
    <cellStyle name="Percent 9 2 2" xfId="1984"/>
    <cellStyle name="Percent 9 3" xfId="2208"/>
    <cellStyle name="percentage difference" xfId="928"/>
    <cellStyle name="percentage difference one decimal" xfId="929"/>
    <cellStyle name="percentage difference zero decimal" xfId="930"/>
    <cellStyle name="Percentual" xfId="931"/>
    <cellStyle name="Ponto" xfId="932"/>
    <cellStyle name="Porcentagem_SEP1196" xfId="933"/>
    <cellStyle name="Porcentaje" xfId="934"/>
    <cellStyle name="Pourcentage 2" xfId="935"/>
    <cellStyle name="Pourcentage 2 2" xfId="936"/>
    <cellStyle name="Pourcentage 2 3" xfId="937"/>
    <cellStyle name="Pourcentage 3" xfId="938"/>
    <cellStyle name="Pourcentage 4" xfId="939"/>
    <cellStyle name="Pourcentage 4 2" xfId="940"/>
    <cellStyle name="Pourcentage 5" xfId="941"/>
    <cellStyle name="Pourcentage 6" xfId="942"/>
    <cellStyle name="Pourcentage 7" xfId="943"/>
    <cellStyle name="Pourcentage 7 2" xfId="944"/>
    <cellStyle name="Pourcentage 7 2 2" xfId="945"/>
    <cellStyle name="Pourcentage 8" xfId="946"/>
    <cellStyle name="Presentation" xfId="947"/>
    <cellStyle name="Publication" xfId="948"/>
    <cellStyle name="Punto" xfId="949"/>
    <cellStyle name="Punto0" xfId="950"/>
    <cellStyle name="Red Text" xfId="951"/>
    <cellStyle name="SAPBEXaggData" xfId="952"/>
    <cellStyle name="SAPBEXaggDataEmph" xfId="953"/>
    <cellStyle name="SAPBEXaggItem" xfId="954"/>
    <cellStyle name="SAPBEXchaText" xfId="955"/>
    <cellStyle name="SAPBEXexcBad" xfId="956"/>
    <cellStyle name="SAPBEXexcCritical" xfId="957"/>
    <cellStyle name="SAPBEXexcGood" xfId="958"/>
    <cellStyle name="SAPBEXexcVeryBad" xfId="959"/>
    <cellStyle name="SAPBEXfilterDrill" xfId="960"/>
    <cellStyle name="SAPBEXfilterItem" xfId="961"/>
    <cellStyle name="SAPBEXfilterText" xfId="962"/>
    <cellStyle name="SAPBEXformats" xfId="963"/>
    <cellStyle name="SAPBEXheaderData" xfId="964"/>
    <cellStyle name="SAPBEXheaderItem" xfId="965"/>
    <cellStyle name="SAPBEXheaderText" xfId="966"/>
    <cellStyle name="SAPBEXresData" xfId="967"/>
    <cellStyle name="SAPBEXresDataEmph" xfId="968"/>
    <cellStyle name="SAPBEXresItem" xfId="969"/>
    <cellStyle name="SAPBEXstdData" xfId="970"/>
    <cellStyle name="SAPBEXstdDataEmph" xfId="971"/>
    <cellStyle name="SAPBEXstdItem" xfId="972"/>
    <cellStyle name="SAPBEXsubData" xfId="973"/>
    <cellStyle name="SAPBEXsubDataEmph" xfId="974"/>
    <cellStyle name="SAPBEXsubItem" xfId="975"/>
    <cellStyle name="SAPBEXtitle" xfId="976"/>
    <cellStyle name="SAPBEXundefined" xfId="977"/>
    <cellStyle name="Sep. milhar [2]" xfId="978"/>
    <cellStyle name="Separador de m" xfId="979"/>
    <cellStyle name="Separador de milhares [0]_A" xfId="980"/>
    <cellStyle name="Separador de milhares_A" xfId="981"/>
    <cellStyle name="Sheet Title" xfId="982"/>
    <cellStyle name="Style 1" xfId="983"/>
    <cellStyle name="Text" xfId="984"/>
    <cellStyle name="Title" xfId="985" builtinId="15" customBuiltin="1"/>
    <cellStyle name="Title 2" xfId="986"/>
    <cellStyle name="Title 2 2" xfId="2209"/>
    <cellStyle name="Title 2 3" xfId="2008"/>
    <cellStyle name="Title 3" xfId="2002"/>
    <cellStyle name="Titulo1" xfId="987"/>
    <cellStyle name="Titulo2" xfId="988"/>
    <cellStyle name="TopGrey" xfId="989"/>
    <cellStyle name="Total" xfId="990" builtinId="25" customBuiltin="1"/>
    <cellStyle name="Total 2" xfId="991"/>
    <cellStyle name="Total 2 2" xfId="1985"/>
    <cellStyle name="Total 2 3" xfId="2024"/>
    <cellStyle name="V¡rgula" xfId="992"/>
    <cellStyle name="V¡rgula0" xfId="993"/>
    <cellStyle name="vaca" xfId="994"/>
    <cellStyle name="Vírgula" xfId="995"/>
    <cellStyle name="Warning Text" xfId="996" builtinId="11" customBuiltin="1"/>
    <cellStyle name="Warning Text 2" xfId="997"/>
    <cellStyle name="Warning Text 2 2" xfId="2210"/>
    <cellStyle name="Warning Text 2 3" xfId="2021"/>
    <cellStyle name="WebAnchor1" xfId="998"/>
    <cellStyle name="WebAnchor2" xfId="999"/>
    <cellStyle name="WebAnchor3" xfId="1000"/>
    <cellStyle name="WebAnchor4" xfId="1001"/>
    <cellStyle name="WebAnchor5" xfId="1002"/>
    <cellStyle name="WebAnchor6" xfId="1003"/>
    <cellStyle name="WebAnchor7" xfId="1004"/>
    <cellStyle name="Webexclude" xfId="1005"/>
    <cellStyle name="WebFN" xfId="1006"/>
    <cellStyle name="WebFN1" xfId="1007"/>
    <cellStyle name="WebFN2" xfId="1008"/>
    <cellStyle name="WebFN3" xfId="1009"/>
    <cellStyle name="WebFN4" xfId="1010"/>
    <cellStyle name="WebHR" xfId="1011"/>
    <cellStyle name="WebIndent1" xfId="1012"/>
    <cellStyle name="WebIndent1wFN3" xfId="1013"/>
    <cellStyle name="WebIndent2" xfId="1014"/>
    <cellStyle name="WebNoBR" xfId="1015"/>
    <cellStyle name="ДАТА" xfId="1016"/>
    <cellStyle name="ДЕНЕЖНЫЙ_BOPENGC" xfId="1017"/>
    <cellStyle name="ЗАГОЛОВОК1" xfId="1018"/>
    <cellStyle name="ЗАГОЛОВОК2" xfId="1019"/>
    <cellStyle name="ИТОГОВЫЙ" xfId="1020"/>
    <cellStyle name="Обычный_2000---2 fin" xfId="1021"/>
    <cellStyle name="ПРОЦЕНТНЫЙ_BOPENGC" xfId="1022"/>
    <cellStyle name="ТЕКСТ" xfId="1023"/>
    <cellStyle name="ФИКСИРОВАННЫЙ" xfId="1024"/>
    <cellStyle name="ФИНАНСОВЫЙ_BOPENGC" xfId="1025"/>
    <cellStyle name="標準_TonREAL" xfId="1026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25"/>
      <tableStyleElement type="headerRow" dxfId="24"/>
    </tableStyle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CFMU/e-GDDS/Working%20Folder%202019-2020/MAY_20/Bond%20Ownership%20Table%20May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CFMU/BACK%20OFFICE/DEBT%20DATABASE%20&amp;%20SERVICING/External%20Debt%20Register/External%20DOD%202019-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CFMU/CS-DRMS/External%20Debt%20Statistics/By%20Creditor%20Category%20-%20R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nd%20Ownership%20Table_1123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rah.ithiel/Desktop/Debt%20Servicing%20Drawdowns%202020-20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2023/10.%20MAY23/Bond%20Ownership%20Table_0523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CFMU/BACK%20OFFICE/DEBT%20DATABASE%20&amp;%20SERVICING/External%20Debt%20Servicing/2019-2020/Debt%20Servicing%20&amp;%20Drawdowns%202019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vtown"/>
      <sheetName val="Bondsown"/>
      <sheetName val="banks"/>
    </sheetNames>
    <sheetDataSet>
      <sheetData sheetId="0">
        <row r="6">
          <cell r="B6">
            <v>42000000</v>
          </cell>
        </row>
        <row r="7">
          <cell r="B7">
            <v>224700000</v>
          </cell>
        </row>
        <row r="10">
          <cell r="B10">
            <v>0</v>
          </cell>
        </row>
        <row r="11">
          <cell r="B11">
            <v>2000000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B FRUP III Supp-2514"/>
      <sheetName val="ADB FRUP III-1530"/>
      <sheetName val="ADB Suv-Nau-2055"/>
      <sheetName val="ADB Suv-Nau Supp-2603"/>
      <sheetName val="ADB Flood Recovery 2541"/>
      <sheetName val="ADB Transport Infrastr 3210"/>
      <sheetName val="ADB LN3210 - Cash Account"/>
      <sheetName val="ADB PDA6004 &amp; Urban Water 3512"/>
      <sheetName val="ADB LN3403"/>
      <sheetName val="ADB LN3667"/>
      <sheetName val="ADB LN3812"/>
      <sheetName val="IBRD LN3188 - Cash Account"/>
      <sheetName val="IBRD CYCL WNSTON LN8632"/>
      <sheetName val="WB Trans Infras LN8482"/>
      <sheetName val="FJ Connectivity LN8666"/>
      <sheetName val="IBRD FSCRDPO LN8840"/>
      <sheetName val="IBRD FSCRDPO LN9016"/>
      <sheetName val="IDA FSCRDPO LN6500"/>
      <sheetName val="IDA FSCRDPO LN6501"/>
      <sheetName val="E-Gov"/>
      <sheetName val="Fiji Low Cost Hsng"/>
      <sheetName val="Public Rental Hsng"/>
      <sheetName val="Buca-Moto Rds"/>
      <sheetName val="Sgtka-Serea Rds"/>
      <sheetName val="Nabouwalu Dreketi"/>
      <sheetName val="Int Free PROC LN"/>
      <sheetName val="IFAD"/>
      <sheetName val="JICA Nad-Ltk"/>
      <sheetName val="JICA Standby Loan SB1-FJ"/>
      <sheetName val="Discount - 3rd Global Bond "/>
      <sheetName val="2015 3rd Global bond"/>
      <sheetName val="Aug Rev"/>
      <sheetName val="Sept Rev"/>
      <sheetName val="Oct Rev"/>
      <sheetName val="Nov Rev"/>
      <sheetName val="Dec Rev"/>
      <sheetName val="Jan Rev"/>
      <sheetName val="Feb Rev"/>
      <sheetName val="Mar Rev"/>
      <sheetName val="April Rev"/>
      <sheetName val="May Rev"/>
      <sheetName val="June Rev"/>
      <sheetName val="Calculations with PSingh"/>
      <sheetName val="July Rev ZI"/>
      <sheetName val="July Rev"/>
      <sheetName val="AUG Reval."/>
      <sheetName val="SEP Reval. "/>
      <sheetName val="OCT Reval."/>
      <sheetName val="NOV Reval."/>
      <sheetName val="DEC Reval."/>
      <sheetName val="JAN Reval."/>
      <sheetName val="FEB Reval."/>
      <sheetName val="MAR Reval."/>
      <sheetName val="APR Reval."/>
      <sheetName val="MAY Reval."/>
      <sheetName val="JUNE Reval."/>
      <sheetName val="JULY Reval.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4">
          <cell r="C4">
            <v>19671982.838753998</v>
          </cell>
        </row>
      </sheetData>
      <sheetData sheetId="46">
        <row r="4">
          <cell r="C4">
            <v>19671982.838753998</v>
          </cell>
        </row>
      </sheetData>
      <sheetData sheetId="47"/>
      <sheetData sheetId="48"/>
      <sheetData sheetId="49">
        <row r="4">
          <cell r="C4">
            <v>19027823.418753996</v>
          </cell>
        </row>
      </sheetData>
      <sheetData sheetId="50"/>
      <sheetData sheetId="51">
        <row r="4">
          <cell r="G4">
            <v>-42199652.740000002</v>
          </cell>
        </row>
      </sheetData>
      <sheetData sheetId="52">
        <row r="4">
          <cell r="G4">
            <v>-43392983.850000001</v>
          </cell>
        </row>
      </sheetData>
      <sheetData sheetId="53">
        <row r="4">
          <cell r="C4">
            <v>18351455.968753997</v>
          </cell>
        </row>
        <row r="28">
          <cell r="G28">
            <v>-7628700</v>
          </cell>
        </row>
      </sheetData>
      <sheetData sheetId="54">
        <row r="4">
          <cell r="G4">
            <v>-40690589.729999997</v>
          </cell>
        </row>
      </sheetData>
      <sheetData sheetId="55">
        <row r="4">
          <cell r="C4">
            <v>18351455.968753997</v>
          </cell>
        </row>
      </sheetData>
      <sheetData sheetId="56">
        <row r="4">
          <cell r="C4">
            <v>18351455.968753997</v>
          </cell>
        </row>
      </sheetData>
      <sheetData sheetId="5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2011"/>
      <sheetName val="2012"/>
      <sheetName val="2013"/>
      <sheetName val="2012-13"/>
      <sheetName val="2014"/>
      <sheetName val="2013-14"/>
      <sheetName val="2015"/>
      <sheetName val="2014-15"/>
      <sheetName val="2016"/>
      <sheetName val="2015-16"/>
      <sheetName val="2017"/>
      <sheetName val="2016-17"/>
      <sheetName val="2017-2018"/>
      <sheetName val="2018"/>
      <sheetName val="2018-19"/>
      <sheetName val="2019"/>
      <sheetName val="2019-20"/>
      <sheetName val="2020"/>
      <sheetName val="2021"/>
      <sheetName val="2020-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9">
          <cell r="F19">
            <v>128.00463943</v>
          </cell>
        </row>
      </sheetData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-2020"/>
      <sheetName val="Feb-2020"/>
      <sheetName val="Mar-2020"/>
      <sheetName val="Apr-2020"/>
      <sheetName val="May-2020"/>
      <sheetName val="Jun-2020"/>
      <sheetName val="Jul-2020"/>
      <sheetName val="Aug-2020"/>
      <sheetName val="Sept-2020"/>
      <sheetName val="Oct-2020"/>
      <sheetName val="Nov-2020"/>
      <sheetName val="Dec-2020"/>
      <sheetName val="Mar-2016"/>
      <sheetName val="Jan-2021"/>
      <sheetName val="Feb_2021"/>
      <sheetName val="Mar_21"/>
      <sheetName val="QEDS, QPSD Q1 2021"/>
      <sheetName val="APR_21"/>
      <sheetName val="MAY_21"/>
      <sheetName val="JUN_21"/>
      <sheetName val="QEDS, QPSD Q2 2021"/>
      <sheetName val="JUL_21"/>
      <sheetName val="AUG_21"/>
      <sheetName val="SEPT-21"/>
      <sheetName val="JAN-22"/>
      <sheetName val="FEB-22"/>
      <sheetName val="MAR-22"/>
      <sheetName val="APR-22"/>
      <sheetName val="MAY-22"/>
      <sheetName val="JUN-22"/>
      <sheetName val="JUL-22"/>
      <sheetName val="AUG-22"/>
      <sheetName val="SEPT-22"/>
      <sheetName val="OCT-22"/>
      <sheetName val="NOV-22"/>
      <sheetName val="DEC-22"/>
      <sheetName val="JAN-23"/>
      <sheetName val="FEB-23"/>
      <sheetName val="MAR-23"/>
      <sheetName val="APR23"/>
      <sheetName val="MAY23"/>
      <sheetName val="JUN23"/>
      <sheetName val="JUL23"/>
      <sheetName val="AUG23"/>
      <sheetName val="SEPT23"/>
      <sheetName val="OCT23"/>
      <sheetName val="NOV23"/>
      <sheetName val="DEC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14">
          <cell r="B114">
            <v>32.137206149999997</v>
          </cell>
        </row>
      </sheetData>
      <sheetData sheetId="42"/>
      <sheetData sheetId="43"/>
      <sheetData sheetId="44">
        <row r="31">
          <cell r="F31">
            <v>6336799000</v>
          </cell>
        </row>
      </sheetData>
      <sheetData sheetId="45"/>
      <sheetData sheetId="46"/>
      <sheetData sheetId="4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Servicing"/>
      <sheetName val="Sheet1"/>
      <sheetName val="Disbrsmnt &amp; Drwdown"/>
      <sheetName val="Servicing Summary 2020-2021FY"/>
      <sheetName val="Allocation"/>
      <sheetName val="Budget vs Actual"/>
      <sheetName val="Budget Loading"/>
    </sheetNames>
    <sheetDataSet>
      <sheetData sheetId="0">
        <row r="45">
          <cell r="G45">
            <v>323726.82</v>
          </cell>
        </row>
      </sheetData>
      <sheetData sheetId="1"/>
      <sheetData sheetId="2">
        <row r="37">
          <cell r="G37">
            <v>488502.38</v>
          </cell>
        </row>
        <row r="43">
          <cell r="G43">
            <v>50968399.590000004</v>
          </cell>
        </row>
        <row r="44">
          <cell r="G44">
            <v>223318523.96000001</v>
          </cell>
        </row>
        <row r="45">
          <cell r="G45">
            <v>200000</v>
          </cell>
        </row>
        <row r="46">
          <cell r="G46">
            <v>45851.72</v>
          </cell>
        </row>
        <row r="47">
          <cell r="G47">
            <v>119952.01</v>
          </cell>
        </row>
        <row r="48">
          <cell r="G48">
            <v>107650.99</v>
          </cell>
        </row>
        <row r="49">
          <cell r="G49">
            <v>541180.03</v>
          </cell>
        </row>
        <row r="50">
          <cell r="G50">
            <v>1466104.5</v>
          </cell>
        </row>
        <row r="51">
          <cell r="G51">
            <v>27500</v>
          </cell>
        </row>
        <row r="52">
          <cell r="G52">
            <v>2932209</v>
          </cell>
        </row>
        <row r="53">
          <cell r="G53">
            <v>66695</v>
          </cell>
        </row>
        <row r="54">
          <cell r="G54">
            <v>54337.39</v>
          </cell>
        </row>
        <row r="55">
          <cell r="G55">
            <v>70574.399999999994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-2020"/>
      <sheetName val="Feb-2020"/>
      <sheetName val="Mar-2020"/>
      <sheetName val="Apr-2020"/>
      <sheetName val="May-2020"/>
      <sheetName val="Jun-2020"/>
      <sheetName val="Jul-2020"/>
      <sheetName val="Aug-2020"/>
      <sheetName val="Sept-2020"/>
      <sheetName val="Oct-2020"/>
      <sheetName val="Nov-2020"/>
      <sheetName val="Dec-2020"/>
      <sheetName val="Mar-2016"/>
      <sheetName val="Jan-2021"/>
      <sheetName val="Feb_2021"/>
      <sheetName val="Mar_21"/>
      <sheetName val="QEDS, QPSD Q1 2021"/>
      <sheetName val="APR_21"/>
      <sheetName val="MAY_21"/>
      <sheetName val="JUN_21"/>
      <sheetName val="QEDS, QPSD Q2 2021"/>
      <sheetName val="JUL_21"/>
      <sheetName val="AUG_21"/>
      <sheetName val="SEPT-21"/>
      <sheetName val="JAN-22"/>
      <sheetName val="FEB-22"/>
      <sheetName val="MAR-22"/>
      <sheetName val="APR-22"/>
      <sheetName val="MAY-22"/>
      <sheetName val="JUN-22"/>
      <sheetName val="JUL-22"/>
      <sheetName val="AUG-22"/>
      <sheetName val="SEPT-22"/>
      <sheetName val="OCT-22"/>
      <sheetName val="NOV-22"/>
      <sheetName val="DEC-22"/>
      <sheetName val="JAN-23"/>
      <sheetName val="FEB-23"/>
      <sheetName val="MAR-23"/>
      <sheetName val="APR23"/>
      <sheetName val="MAY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43">
          <cell r="F43">
            <v>74.24518535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Servicing"/>
      <sheetName val="Servicing Summary 2020FY"/>
      <sheetName val="Summary by month"/>
      <sheetName val="Sheet1"/>
      <sheetName val="BACKOFFICE"/>
      <sheetName val="Drawdowns"/>
    </sheetNames>
    <sheetDataSet>
      <sheetData sheetId="0">
        <row r="10">
          <cell r="F10">
            <v>8089725.445641268</v>
          </cell>
        </row>
        <row r="74">
          <cell r="F74">
            <v>1558895.4315621117</v>
          </cell>
          <cell r="G74">
            <v>383555.40904170286</v>
          </cell>
        </row>
        <row r="77">
          <cell r="F77">
            <v>0</v>
          </cell>
          <cell r="G77">
            <v>1491183.935135135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Y74"/>
  <sheetViews>
    <sheetView zoomScale="80" zoomScaleNormal="80" workbookViewId="0">
      <pane xSplit="2" topLeftCell="AC1" activePane="topRight" state="frozen"/>
      <selection activeCell="A9" sqref="A9"/>
      <selection pane="topRight" activeCell="AO30" sqref="AO30"/>
    </sheetView>
  </sheetViews>
  <sheetFormatPr defaultRowHeight="15"/>
  <cols>
    <col min="1" max="1" width="32.140625" style="1" bestFit="1" customWidth="1"/>
    <col min="2" max="2" width="59.28515625" style="1" bestFit="1" customWidth="1"/>
    <col min="3" max="3" width="28" bestFit="1" customWidth="1"/>
    <col min="4" max="4" width="10.28515625" bestFit="1" customWidth="1"/>
    <col min="5" max="15" width="8.5703125" bestFit="1" customWidth="1"/>
    <col min="16" max="17" width="8.5703125" style="46" bestFit="1" customWidth="1"/>
    <col min="18" max="18" width="8.5703125" style="129" bestFit="1" customWidth="1"/>
    <col min="19" max="19" width="9.5703125" style="46" bestFit="1" customWidth="1"/>
    <col min="20" max="21" width="9.5703125" bestFit="1" customWidth="1"/>
    <col min="23" max="23" width="10" customWidth="1"/>
    <col min="24" max="24" width="10.28515625" customWidth="1"/>
    <col min="30" max="37" width="9.7109375" bestFit="1" customWidth="1"/>
    <col min="41" max="103" width="9.140625" style="42"/>
  </cols>
  <sheetData>
    <row r="1" spans="1:103" s="42" customFormat="1" hidden="1">
      <c r="A1" s="91" t="s">
        <v>17</v>
      </c>
      <c r="B1" s="42" t="s">
        <v>18</v>
      </c>
      <c r="C1" s="42" t="s">
        <v>19</v>
      </c>
      <c r="R1" s="104"/>
    </row>
    <row r="2" spans="1:103" s="42" customFormat="1" hidden="1">
      <c r="A2" s="91" t="s">
        <v>20</v>
      </c>
      <c r="B2" s="92" t="s">
        <v>21</v>
      </c>
      <c r="C2" s="42" t="s">
        <v>22</v>
      </c>
      <c r="R2" s="104"/>
    </row>
    <row r="3" spans="1:103" s="42" customFormat="1" hidden="1">
      <c r="A3" s="91" t="s">
        <v>0</v>
      </c>
      <c r="B3" s="42" t="s">
        <v>24</v>
      </c>
      <c r="C3" s="42" t="s">
        <v>13</v>
      </c>
      <c r="R3" s="104"/>
    </row>
    <row r="4" spans="1:103" s="42" customFormat="1" hidden="1">
      <c r="A4" s="91" t="s">
        <v>1</v>
      </c>
      <c r="B4" s="92" t="s">
        <v>25</v>
      </c>
      <c r="C4" s="42" t="s">
        <v>10</v>
      </c>
      <c r="R4" s="104"/>
    </row>
    <row r="5" spans="1:103" s="42" customFormat="1" hidden="1">
      <c r="A5" s="91" t="s">
        <v>2</v>
      </c>
      <c r="B5" s="42" t="s">
        <v>14</v>
      </c>
      <c r="C5" s="42" t="s">
        <v>11</v>
      </c>
      <c r="R5" s="104"/>
    </row>
    <row r="6" spans="1:103" s="42" customFormat="1" hidden="1">
      <c r="A6" s="91" t="s">
        <v>4</v>
      </c>
      <c r="B6" s="93">
        <v>6</v>
      </c>
      <c r="C6" s="93" t="str">
        <f>"Scale = "&amp;IF(B6=0,"Unit",(IF(B6=3,"Thousand",(IF(B6=6,"Million",(IF(B6=9,"Billion")))))))</f>
        <v>Scale = Million</v>
      </c>
      <c r="R6" s="104"/>
    </row>
    <row r="7" spans="1:103" s="42" customFormat="1" hidden="1">
      <c r="A7" s="91" t="s">
        <v>3</v>
      </c>
      <c r="B7" s="42" t="s">
        <v>15</v>
      </c>
      <c r="C7" s="93" t="str">
        <f>"Frequency = "&amp;IF(B7="A","Annual",IF(B7="Q", "Quarterly", "Monthly"))</f>
        <v>Frequency = Quarterly</v>
      </c>
      <c r="R7" s="104"/>
    </row>
    <row r="8" spans="1:103" s="42" customFormat="1" hidden="1">
      <c r="A8" s="94" t="s">
        <v>9</v>
      </c>
      <c r="B8" s="93" t="s">
        <v>16</v>
      </c>
      <c r="C8" s="42" t="s">
        <v>12</v>
      </c>
      <c r="R8" s="104"/>
    </row>
    <row r="9" spans="1:103" s="42" customFormat="1">
      <c r="A9" s="94"/>
      <c r="R9" s="104"/>
    </row>
    <row r="10" spans="1:103">
      <c r="A10" s="87" t="s">
        <v>7</v>
      </c>
      <c r="B10" s="88" t="s">
        <v>6</v>
      </c>
      <c r="C10" s="88" t="s">
        <v>5</v>
      </c>
      <c r="D10" s="89">
        <v>2013</v>
      </c>
      <c r="E10" s="89">
        <v>2014</v>
      </c>
      <c r="F10" s="89">
        <v>2015</v>
      </c>
      <c r="G10" s="89">
        <v>2016</v>
      </c>
      <c r="H10" s="89" t="s">
        <v>30</v>
      </c>
      <c r="I10" s="89" t="s">
        <v>31</v>
      </c>
      <c r="J10" s="89" t="s">
        <v>32</v>
      </c>
      <c r="K10" s="89" t="s">
        <v>33</v>
      </c>
      <c r="L10" s="90" t="s">
        <v>78</v>
      </c>
      <c r="M10" s="90" t="s">
        <v>180</v>
      </c>
      <c r="N10" s="90" t="s">
        <v>192</v>
      </c>
      <c r="O10" s="90" t="s">
        <v>193</v>
      </c>
      <c r="P10" s="90" t="s">
        <v>208</v>
      </c>
      <c r="Q10" s="90" t="s">
        <v>210</v>
      </c>
      <c r="R10" s="90" t="s">
        <v>214</v>
      </c>
      <c r="S10" s="90" t="s">
        <v>220</v>
      </c>
      <c r="T10" s="90" t="s">
        <v>225</v>
      </c>
      <c r="U10" s="90" t="s">
        <v>228</v>
      </c>
      <c r="V10" s="90" t="s">
        <v>233</v>
      </c>
      <c r="W10" s="90" t="s">
        <v>237</v>
      </c>
      <c r="X10" s="90" t="s">
        <v>244</v>
      </c>
      <c r="Y10" s="90" t="s">
        <v>256</v>
      </c>
      <c r="Z10" s="90" t="s">
        <v>257</v>
      </c>
      <c r="AA10" s="90" t="s">
        <v>258</v>
      </c>
      <c r="AB10" s="90" t="s">
        <v>261</v>
      </c>
      <c r="AC10" s="90" t="s">
        <v>264</v>
      </c>
      <c r="AD10" s="90" t="s">
        <v>277</v>
      </c>
      <c r="AE10" s="90" t="s">
        <v>278</v>
      </c>
      <c r="AF10" s="90" t="s">
        <v>279</v>
      </c>
      <c r="AG10" s="90" t="s">
        <v>284</v>
      </c>
      <c r="AH10" s="90" t="s">
        <v>288</v>
      </c>
      <c r="AI10" s="90" t="s">
        <v>299</v>
      </c>
      <c r="AJ10" s="90" t="s">
        <v>301</v>
      </c>
      <c r="AK10" s="90" t="s">
        <v>302</v>
      </c>
      <c r="AL10" s="90" t="s">
        <v>311</v>
      </c>
      <c r="AM10" s="90" t="s">
        <v>312</v>
      </c>
      <c r="AN10" s="90" t="s">
        <v>313</v>
      </c>
      <c r="AO10" s="90" t="s">
        <v>320</v>
      </c>
      <c r="AP10" s="248"/>
      <c r="AQ10" s="248"/>
      <c r="AR10" s="248"/>
      <c r="AS10" s="248"/>
      <c r="AT10" s="248"/>
      <c r="AU10" s="248"/>
      <c r="AV10" s="248"/>
      <c r="AW10" s="248"/>
      <c r="AX10" s="248"/>
      <c r="AY10" s="248"/>
      <c r="AZ10" s="248"/>
      <c r="BA10" s="248"/>
      <c r="BB10" s="248"/>
      <c r="BC10" s="248"/>
      <c r="BD10" s="248"/>
      <c r="BE10" s="248"/>
      <c r="BF10" s="248"/>
      <c r="BG10" s="248"/>
      <c r="BH10" s="248"/>
      <c r="BI10" s="248"/>
      <c r="BJ10" s="248"/>
      <c r="BK10" s="248"/>
      <c r="BL10" s="248"/>
      <c r="BM10" s="248"/>
      <c r="BN10" s="248"/>
      <c r="BO10" s="248"/>
      <c r="BP10" s="248"/>
      <c r="BQ10" s="248"/>
      <c r="BR10" s="248"/>
      <c r="BS10" s="248"/>
      <c r="BT10" s="248"/>
      <c r="BU10" s="248"/>
      <c r="BV10" s="248"/>
      <c r="BW10" s="248"/>
      <c r="BX10" s="248"/>
      <c r="BY10" s="248"/>
      <c r="BZ10" s="248"/>
      <c r="CA10" s="248"/>
      <c r="CB10" s="248"/>
      <c r="CC10" s="248"/>
      <c r="CD10" s="248"/>
      <c r="CE10" s="248"/>
      <c r="CF10" s="248"/>
      <c r="CG10" s="248"/>
      <c r="CH10" s="248"/>
      <c r="CI10" s="248"/>
      <c r="CJ10" s="248"/>
      <c r="CK10" s="248"/>
      <c r="CL10" s="248"/>
      <c r="CM10" s="248"/>
      <c r="CN10" s="248"/>
      <c r="CO10" s="248"/>
      <c r="CP10" s="248"/>
      <c r="CQ10" s="248"/>
      <c r="CR10" s="248"/>
      <c r="CS10" s="248"/>
      <c r="CT10" s="248"/>
      <c r="CU10" s="248"/>
      <c r="CV10" s="248"/>
      <c r="CW10" s="248"/>
    </row>
    <row r="11" spans="1:103" s="20" customFormat="1">
      <c r="A11" s="21"/>
      <c r="B11" s="22" t="s">
        <v>61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48"/>
      <c r="AQ11" s="248"/>
      <c r="AR11" s="248"/>
      <c r="AS11" s="248"/>
      <c r="AT11" s="248"/>
      <c r="AU11" s="248"/>
      <c r="AV11" s="248"/>
      <c r="AW11" s="248"/>
      <c r="AX11" s="248"/>
      <c r="AY11" s="248"/>
      <c r="AZ11" s="248"/>
      <c r="BA11" s="248"/>
      <c r="BB11" s="248"/>
      <c r="BC11" s="248"/>
      <c r="BD11" s="248"/>
      <c r="BE11" s="248"/>
      <c r="BF11" s="248"/>
      <c r="BG11" s="248"/>
      <c r="BH11" s="248"/>
      <c r="BI11" s="248"/>
      <c r="BJ11" s="248"/>
      <c r="BK11" s="248"/>
      <c r="BL11" s="248"/>
      <c r="BM11" s="248"/>
      <c r="BN11" s="248"/>
      <c r="BO11" s="248"/>
      <c r="BP11" s="248"/>
      <c r="BQ11" s="248"/>
      <c r="BR11" s="248"/>
      <c r="BS11" s="248"/>
      <c r="BT11" s="248"/>
      <c r="BU11" s="248"/>
      <c r="BV11" s="248"/>
      <c r="BW11" s="248"/>
      <c r="BX11" s="248"/>
      <c r="BY11" s="248"/>
      <c r="BZ11" s="248"/>
      <c r="CA11" s="248"/>
      <c r="CB11" s="248"/>
      <c r="CC11" s="248"/>
      <c r="CD11" s="248"/>
      <c r="CE11" s="248"/>
      <c r="CF11" s="248"/>
      <c r="CG11" s="248"/>
      <c r="CH11" s="248"/>
      <c r="CI11" s="248"/>
      <c r="CJ11" s="248"/>
      <c r="CK11" s="248"/>
      <c r="CL11" s="248"/>
      <c r="CM11" s="248"/>
      <c r="CN11" s="248"/>
      <c r="CO11" s="248"/>
      <c r="CP11" s="248"/>
      <c r="CQ11" s="248"/>
      <c r="CR11" s="248"/>
      <c r="CS11" s="248"/>
      <c r="CT11" s="248"/>
      <c r="CU11" s="248"/>
      <c r="CV11" s="248"/>
      <c r="CW11" s="248"/>
      <c r="CX11" s="42"/>
      <c r="CY11" s="42"/>
    </row>
    <row r="12" spans="1:103">
      <c r="A12" s="17"/>
      <c r="B12" s="25" t="s">
        <v>62</v>
      </c>
      <c r="C12" s="19"/>
      <c r="P12" s="63"/>
      <c r="AO12"/>
    </row>
    <row r="13" spans="1:103" s="35" customFormat="1">
      <c r="A13" s="32" t="s">
        <v>136</v>
      </c>
      <c r="B13" s="33" t="s">
        <v>63</v>
      </c>
      <c r="C13" s="34" t="s">
        <v>136</v>
      </c>
      <c r="D13" s="205">
        <v>3753.7</v>
      </c>
      <c r="E13" s="205">
        <v>3929.1</v>
      </c>
      <c r="F13" s="205">
        <v>4382.8</v>
      </c>
      <c r="G13" s="205">
        <v>4507.7</v>
      </c>
      <c r="H13" s="205">
        <v>4519.7</v>
      </c>
      <c r="I13" s="205">
        <v>4528</v>
      </c>
      <c r="J13" s="205">
        <v>4533.6000000000004</v>
      </c>
      <c r="K13" s="205">
        <v>4671.7</v>
      </c>
      <c r="L13" s="205">
        <v>4758.8999999999996</v>
      </c>
      <c r="M13" s="205">
        <v>4824.6000000000004</v>
      </c>
      <c r="N13" s="205">
        <v>4962</v>
      </c>
      <c r="O13" s="205">
        <v>5220.5</v>
      </c>
      <c r="P13" s="205">
        <v>5267.51</v>
      </c>
      <c r="Q13" s="205">
        <v>5326.34</v>
      </c>
      <c r="R13" s="205">
        <v>5498.7830000000004</v>
      </c>
      <c r="S13" s="205">
        <v>5735.2420000000002</v>
      </c>
      <c r="T13" s="205">
        <v>5766.5015000000003</v>
      </c>
      <c r="U13" s="205">
        <v>5798.4017091700007</v>
      </c>
      <c r="V13" s="205">
        <v>6361.0072791700004</v>
      </c>
      <c r="W13" s="205">
        <v>6686.01559808</v>
      </c>
      <c r="X13" s="205">
        <v>6828.4492287000012</v>
      </c>
      <c r="Y13" s="205">
        <v>6875.9985942300018</v>
      </c>
      <c r="Z13" s="205">
        <v>7225.2653142099998</v>
      </c>
      <c r="AA13" s="205">
        <v>7663.6930184700013</v>
      </c>
      <c r="AB13" s="205">
        <v>8003.7688171500013</v>
      </c>
      <c r="AC13" s="205">
        <v>8203.8327470899985</v>
      </c>
      <c r="AD13" s="205">
        <v>8599.9074922</v>
      </c>
      <c r="AE13" s="205">
        <v>9131.9835308299989</v>
      </c>
      <c r="AF13" s="205">
        <v>9454.0964175900008</v>
      </c>
      <c r="AG13" s="205">
        <f>SUM(AG14,AG36)</f>
        <v>5983.89</v>
      </c>
      <c r="AH13" s="205">
        <f>SUM(AH14,AH35)</f>
        <v>9676.2432637800011</v>
      </c>
      <c r="AI13" s="205">
        <f>SUM(AI14,AI35)</f>
        <v>9747.5516380299996</v>
      </c>
      <c r="AJ13" s="205">
        <f>SUM(AJ14,AJ35)</f>
        <v>9986.3737847399989</v>
      </c>
      <c r="AK13" s="205">
        <f>SUM(AK14,AK35)</f>
        <v>10019.59962056</v>
      </c>
      <c r="AL13" s="205">
        <f t="shared" ref="AL13:AM13" si="0">SUM(AL14,AL35)</f>
        <v>10036.990206909999</v>
      </c>
      <c r="AM13" s="205">
        <f t="shared" si="0"/>
        <v>10309.182453790001</v>
      </c>
      <c r="AN13" s="205">
        <f t="shared" ref="AN13:AO13" si="1">SUM(AN14,AN35)</f>
        <v>10575.66322223</v>
      </c>
      <c r="AO13" s="205">
        <f t="shared" si="1"/>
        <v>10765.48017773</v>
      </c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</row>
    <row r="14" spans="1:103" s="20" customFormat="1">
      <c r="A14" s="37" t="s">
        <v>137</v>
      </c>
      <c r="B14" s="38" t="s">
        <v>64</v>
      </c>
      <c r="C14" s="39" t="s">
        <v>137</v>
      </c>
      <c r="D14" s="206">
        <v>2713.2</v>
      </c>
      <c r="E14" s="206">
        <v>2847.6</v>
      </c>
      <c r="F14" s="206">
        <v>2997.5</v>
      </c>
      <c r="G14" s="206">
        <v>3245</v>
      </c>
      <c r="H14" s="206">
        <v>3191.4</v>
      </c>
      <c r="I14" s="206">
        <v>3204.4</v>
      </c>
      <c r="J14" s="206">
        <v>3214.2</v>
      </c>
      <c r="K14" s="206">
        <v>3300.8</v>
      </c>
      <c r="L14" s="206">
        <v>3354</v>
      </c>
      <c r="M14" s="206">
        <v>3437.7</v>
      </c>
      <c r="N14" s="206">
        <v>3555.4</v>
      </c>
      <c r="O14" s="206">
        <v>3763</v>
      </c>
      <c r="P14" s="206">
        <v>3810.33</v>
      </c>
      <c r="Q14" s="206">
        <v>3879.34</v>
      </c>
      <c r="R14" s="206">
        <v>4050.6130000000003</v>
      </c>
      <c r="S14" s="206">
        <v>4278.4885000000004</v>
      </c>
      <c r="T14" s="206">
        <v>4320.4915000000001</v>
      </c>
      <c r="U14" s="206">
        <v>4330.3485000000001</v>
      </c>
      <c r="V14" s="206">
        <v>4612.6055000000006</v>
      </c>
      <c r="W14" s="206">
        <v>4976.4669505500005</v>
      </c>
      <c r="X14" s="206">
        <v>4981.3130336500008</v>
      </c>
      <c r="Y14" s="206">
        <v>5095.7098772100017</v>
      </c>
      <c r="Z14" s="206">
        <v>5218.4231326700001</v>
      </c>
      <c r="AA14" s="206">
        <v>5241.214500000001</v>
      </c>
      <c r="AB14" s="206">
        <v>5589.0455000000011</v>
      </c>
      <c r="AC14" s="206">
        <v>5639.4354999999996</v>
      </c>
      <c r="AD14" s="206">
        <v>5901.0830000000005</v>
      </c>
      <c r="AE14" s="206">
        <v>5767.4</v>
      </c>
      <c r="AF14" s="206">
        <v>5875.0870000000014</v>
      </c>
      <c r="AG14" s="206">
        <f>SUM(AG15,AG27)</f>
        <v>5983.89</v>
      </c>
      <c r="AH14" s="206">
        <f>SUM(AH15,AH27)</f>
        <v>6133.8480000000009</v>
      </c>
      <c r="AI14" s="206">
        <f>SUM(AI15,AI27)</f>
        <v>6170.5260000000007</v>
      </c>
      <c r="AJ14" s="206">
        <f>SUM(AJ15,AJ27)</f>
        <v>6373.835</v>
      </c>
      <c r="AK14" s="206">
        <f>SUM(AK15,AK27)</f>
        <v>6492.125</v>
      </c>
      <c r="AL14" s="206">
        <f t="shared" ref="AL14:AM14" si="2">SUM(AL15,AL27)</f>
        <v>6526.3649999999998</v>
      </c>
      <c r="AM14" s="206">
        <f t="shared" si="2"/>
        <v>6587.8810000000012</v>
      </c>
      <c r="AN14" s="206">
        <f t="shared" ref="AN14:AO14" si="3">SUM(AN15,AN27)</f>
        <v>6739.3870000000006</v>
      </c>
      <c r="AO14" s="206">
        <f t="shared" si="3"/>
        <v>6845.8640000000005</v>
      </c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</row>
    <row r="15" spans="1:103">
      <c r="A15" s="17" t="s">
        <v>138</v>
      </c>
      <c r="B15" s="52" t="s">
        <v>65</v>
      </c>
      <c r="C15" s="45" t="s">
        <v>138</v>
      </c>
      <c r="D15" s="81">
        <v>2607.4</v>
      </c>
      <c r="E15" s="81">
        <v>2761.8</v>
      </c>
      <c r="F15" s="81">
        <v>2831.8</v>
      </c>
      <c r="G15" s="81">
        <v>3079.8</v>
      </c>
      <c r="H15" s="81">
        <v>3110.1</v>
      </c>
      <c r="I15" s="81">
        <v>3170.8</v>
      </c>
      <c r="J15" s="81">
        <v>3181.3</v>
      </c>
      <c r="K15" s="81">
        <v>3204.4</v>
      </c>
      <c r="L15" s="81">
        <v>3275.5</v>
      </c>
      <c r="M15" s="81">
        <v>3392.7</v>
      </c>
      <c r="N15" s="81">
        <v>3480.4</v>
      </c>
      <c r="O15" s="81">
        <v>3575.5</v>
      </c>
      <c r="P15" s="112">
        <v>3640.81</v>
      </c>
      <c r="Q15" s="112">
        <v>3737.82</v>
      </c>
      <c r="R15" s="76">
        <v>3952.5980000000004</v>
      </c>
      <c r="S15" s="76">
        <v>3970.9885000000004</v>
      </c>
      <c r="T15" s="76">
        <v>4020.4915000000005</v>
      </c>
      <c r="U15" s="76">
        <v>4055.3485000000001</v>
      </c>
      <c r="V15" s="76">
        <v>4343.9055000000008</v>
      </c>
      <c r="W15" s="76">
        <v>4680.9675000000007</v>
      </c>
      <c r="X15" s="76">
        <v>4692.1675000000014</v>
      </c>
      <c r="Y15" s="76">
        <v>4822.9765000000016</v>
      </c>
      <c r="Z15" s="76">
        <v>4909.3765000000003</v>
      </c>
      <c r="AA15" s="76">
        <v>4967.714500000001</v>
      </c>
      <c r="AB15" s="76">
        <v>5315.5455000000011</v>
      </c>
      <c r="AC15" s="76">
        <v>5365.9354999999996</v>
      </c>
      <c r="AD15" s="76">
        <v>5448.5830000000005</v>
      </c>
      <c r="AE15" s="76">
        <v>5483.9</v>
      </c>
      <c r="AF15" s="76">
        <v>5593.5870000000014</v>
      </c>
      <c r="AG15" s="76">
        <f>SUM(AG16:AG26)</f>
        <v>5706.89</v>
      </c>
      <c r="AH15" s="76">
        <f>SUM(AH16:AH26)</f>
        <v>5861.7480000000005</v>
      </c>
      <c r="AI15" s="76">
        <f>SUM(AI16:AI26)</f>
        <v>5905.4260000000004</v>
      </c>
      <c r="AJ15" s="76">
        <f>SUM(AJ16:AJ26)</f>
        <v>6003.83</v>
      </c>
      <c r="AK15" s="76">
        <f>SUM(AK16:AK26)</f>
        <v>6142.125</v>
      </c>
      <c r="AL15" s="76">
        <f t="shared" ref="AL15:AM15" si="4">SUM(AL16:AL26)</f>
        <v>6196.3649999999998</v>
      </c>
      <c r="AM15" s="76">
        <f t="shared" si="4"/>
        <v>6308.8810000000012</v>
      </c>
      <c r="AN15" s="76">
        <f t="shared" ref="AN15:AO15" si="5">SUM(AN16:AN26)</f>
        <v>6504.3870000000006</v>
      </c>
      <c r="AO15" s="76">
        <f t="shared" si="5"/>
        <v>6535.8640000000005</v>
      </c>
    </row>
    <row r="16" spans="1:103">
      <c r="A16" s="17" t="s">
        <v>139</v>
      </c>
      <c r="B16" s="31" t="s">
        <v>26</v>
      </c>
      <c r="C16" s="45" t="s">
        <v>139</v>
      </c>
      <c r="D16" s="107">
        <v>1685.1</v>
      </c>
      <c r="E16" s="107">
        <v>1731</v>
      </c>
      <c r="F16" s="107">
        <v>1713.3</v>
      </c>
      <c r="G16" s="107">
        <v>1862</v>
      </c>
      <c r="H16" s="107">
        <v>1880.6</v>
      </c>
      <c r="I16" s="107">
        <v>1931.1</v>
      </c>
      <c r="J16" s="107">
        <v>1931.2</v>
      </c>
      <c r="K16" s="107">
        <v>1973.9</v>
      </c>
      <c r="L16" s="107">
        <v>2041.7</v>
      </c>
      <c r="M16" s="107">
        <v>2100.8000000000002</v>
      </c>
      <c r="N16" s="107">
        <v>2162.6</v>
      </c>
      <c r="O16" s="86">
        <v>2265.6</v>
      </c>
      <c r="P16" s="108">
        <v>2308.77</v>
      </c>
      <c r="Q16" s="79">
        <v>2398.0700000000002</v>
      </c>
      <c r="R16" s="108">
        <v>2624.0540000000001</v>
      </c>
      <c r="S16" s="108">
        <v>2647.8040000000001</v>
      </c>
      <c r="T16" s="108">
        <v>2688.39</v>
      </c>
      <c r="U16" s="108">
        <v>2710.556</v>
      </c>
      <c r="V16" s="108">
        <v>2849.0940000000001</v>
      </c>
      <c r="W16" s="108">
        <v>3004.64</v>
      </c>
      <c r="X16" s="108">
        <v>3005.5140000000001</v>
      </c>
      <c r="Y16" s="108">
        <v>3095.0140000000001</v>
      </c>
      <c r="Z16" s="108">
        <v>3149.0140000000001</v>
      </c>
      <c r="AA16" s="108">
        <v>3146.114</v>
      </c>
      <c r="AB16" s="108">
        <v>3216.114</v>
      </c>
      <c r="AC16" s="108">
        <v>3149.8939999999998</v>
      </c>
      <c r="AD16" s="108">
        <v>3195.3040000000001</v>
      </c>
      <c r="AE16" s="108">
        <v>3260.2939999999999</v>
      </c>
      <c r="AF16" s="108">
        <v>3324.348</v>
      </c>
      <c r="AG16" s="108">
        <v>3403.9859999999999</v>
      </c>
      <c r="AH16" s="108">
        <v>3517.86</v>
      </c>
      <c r="AI16" s="108">
        <f>Central_Government_Debt_M!BR16</f>
        <v>3571.12</v>
      </c>
      <c r="AJ16" s="108">
        <f>Central_Government_Debt_M!BU16</f>
        <v>3618.7689999999998</v>
      </c>
      <c r="AK16" s="108">
        <f>Central_Government_Debt_M!BX16</f>
        <v>3717.1990000000001</v>
      </c>
      <c r="AL16" s="108">
        <f>Central_Government_Debt_M!CA16</f>
        <v>3751.8490000000002</v>
      </c>
      <c r="AM16" s="108">
        <f>Central_Government_Debt_M!CD16</f>
        <v>3846.8490000000002</v>
      </c>
      <c r="AN16" s="108">
        <f>Central_Government_Debt_M!CG16</f>
        <v>4002.3490000000002</v>
      </c>
      <c r="AO16" s="108">
        <f>Central_Government_Debt_M!CK16</f>
        <v>4016.3490000000002</v>
      </c>
    </row>
    <row r="17" spans="1:103">
      <c r="A17" s="17" t="s">
        <v>140</v>
      </c>
      <c r="B17" s="31" t="s">
        <v>66</v>
      </c>
      <c r="C17" s="45" t="s">
        <v>140</v>
      </c>
      <c r="D17" s="107">
        <v>250.1</v>
      </c>
      <c r="E17" s="107">
        <v>253.1</v>
      </c>
      <c r="F17" s="107">
        <v>253.1</v>
      </c>
      <c r="G17" s="107">
        <v>277.5</v>
      </c>
      <c r="H17" s="107">
        <v>277.5</v>
      </c>
      <c r="I17" s="107">
        <v>281.2</v>
      </c>
      <c r="J17" s="107">
        <v>285</v>
      </c>
      <c r="K17" s="107">
        <v>285</v>
      </c>
      <c r="L17" s="107">
        <v>285</v>
      </c>
      <c r="M17" s="107">
        <v>294.89999999999998</v>
      </c>
      <c r="N17" s="107">
        <v>297.8</v>
      </c>
      <c r="O17" s="86">
        <v>297.8</v>
      </c>
      <c r="P17" s="108">
        <v>305.5</v>
      </c>
      <c r="Q17" s="79">
        <v>309.51</v>
      </c>
      <c r="R17" s="108">
        <v>309.51400000000001</v>
      </c>
      <c r="S17" s="108">
        <v>312.63900000000001</v>
      </c>
      <c r="T17" s="108">
        <v>315.40800000000002</v>
      </c>
      <c r="U17" s="108">
        <v>318.40800000000002</v>
      </c>
      <c r="V17" s="108">
        <v>321.40800000000002</v>
      </c>
      <c r="W17" s="108">
        <v>321.40800000000002</v>
      </c>
      <c r="X17" s="108">
        <v>321.40800000000002</v>
      </c>
      <c r="Y17" s="108">
        <v>326.40800000000002</v>
      </c>
      <c r="Z17" s="108">
        <v>328.40800000000002</v>
      </c>
      <c r="AA17" s="108">
        <v>313.40800000000002</v>
      </c>
      <c r="AB17" s="108">
        <v>330.40800000000002</v>
      </c>
      <c r="AC17" s="108">
        <v>330.40800000000002</v>
      </c>
      <c r="AD17" s="108">
        <v>338.40800000000002</v>
      </c>
      <c r="AE17" s="108">
        <v>341.40800000000002</v>
      </c>
      <c r="AF17" s="108">
        <v>343.36099999999999</v>
      </c>
      <c r="AG17" s="108">
        <v>345.86099999999999</v>
      </c>
      <c r="AH17" s="108">
        <v>351.77</v>
      </c>
      <c r="AI17" s="108">
        <f>Central_Government_Debt_M!BR17</f>
        <v>355.86099999999999</v>
      </c>
      <c r="AJ17" s="108">
        <f>Central_Government_Debt_M!BU17</f>
        <v>358.67399999999998</v>
      </c>
      <c r="AK17" s="108">
        <f>Central_Government_Debt_M!BX17</f>
        <v>354.76499999999999</v>
      </c>
      <c r="AL17" s="108">
        <f>Central_Government_Debt_M!CA17</f>
        <v>357.76499999999999</v>
      </c>
      <c r="AM17" s="108">
        <f>Central_Government_Debt_M!CD17</f>
        <v>357.76499999999999</v>
      </c>
      <c r="AN17" s="108">
        <f>Central_Government_Debt_M!CG17</f>
        <v>359.76499999999999</v>
      </c>
      <c r="AO17" s="108">
        <f>Central_Government_Debt_M!CK17</f>
        <v>359.76499999999999</v>
      </c>
    </row>
    <row r="18" spans="1:103">
      <c r="A18" s="17" t="s">
        <v>141</v>
      </c>
      <c r="B18" s="31" t="s">
        <v>67</v>
      </c>
      <c r="C18" s="45" t="s">
        <v>141</v>
      </c>
      <c r="D18" s="107">
        <v>0</v>
      </c>
      <c r="E18" s="107">
        <v>0</v>
      </c>
      <c r="F18" s="107">
        <v>5</v>
      </c>
      <c r="G18" s="107">
        <v>22</v>
      </c>
      <c r="H18" s="107">
        <v>32</v>
      </c>
      <c r="I18" s="107">
        <v>32</v>
      </c>
      <c r="J18" s="107">
        <v>32</v>
      </c>
      <c r="K18" s="107">
        <v>32</v>
      </c>
      <c r="L18" s="107">
        <v>32</v>
      </c>
      <c r="M18" s="107">
        <v>40</v>
      </c>
      <c r="N18" s="107">
        <v>41.4</v>
      </c>
      <c r="O18" s="86">
        <v>41.4</v>
      </c>
      <c r="P18" s="108">
        <v>48.41</v>
      </c>
      <c r="Q18" s="79">
        <v>48.41</v>
      </c>
      <c r="R18" s="108">
        <v>48.405000000000001</v>
      </c>
      <c r="S18" s="108">
        <v>48.405000000000001</v>
      </c>
      <c r="T18" s="108">
        <v>53.405000000000001</v>
      </c>
      <c r="U18" s="108">
        <v>53.405000000000001</v>
      </c>
      <c r="V18" s="108">
        <v>53.405000000000001</v>
      </c>
      <c r="W18" s="108">
        <v>53.405000000000001</v>
      </c>
      <c r="X18" s="108">
        <v>53.405000000000001</v>
      </c>
      <c r="Y18" s="108">
        <v>58.405000000000001</v>
      </c>
      <c r="Z18" s="108">
        <v>58.405000000000001</v>
      </c>
      <c r="AA18" s="108">
        <v>58.405000000000001</v>
      </c>
      <c r="AB18" s="108">
        <v>63.405000000000001</v>
      </c>
      <c r="AC18" s="108">
        <v>63.405000000000001</v>
      </c>
      <c r="AD18" s="108">
        <v>66.405000000000001</v>
      </c>
      <c r="AE18" s="108">
        <v>66.405000000000001</v>
      </c>
      <c r="AF18" s="108">
        <v>68.358000000000004</v>
      </c>
      <c r="AG18" s="108">
        <v>68.45</v>
      </c>
      <c r="AH18" s="108">
        <v>68.45</v>
      </c>
      <c r="AI18" s="108">
        <f>Central_Government_Debt_M!BR18</f>
        <v>69.358999999999995</v>
      </c>
      <c r="AJ18" s="108">
        <f>Central_Government_Debt_M!BU18</f>
        <v>72.259</v>
      </c>
      <c r="AK18" s="108">
        <f>Central_Government_Debt_M!BX18</f>
        <v>70.168000000000006</v>
      </c>
      <c r="AL18" s="108">
        <f>Central_Government_Debt_M!CA18</f>
        <v>63.167999999999999</v>
      </c>
      <c r="AM18" s="108">
        <f>Central_Government_Debt_M!CD18</f>
        <v>78.168000000000006</v>
      </c>
      <c r="AN18" s="108">
        <f>Central_Government_Debt_M!CG18</f>
        <v>83.168000000000006</v>
      </c>
      <c r="AO18" s="108">
        <f>Central_Government_Debt_M!CK18</f>
        <v>83.168000000000006</v>
      </c>
    </row>
    <row r="19" spans="1:103">
      <c r="A19" s="17" t="s">
        <v>142</v>
      </c>
      <c r="B19" s="31" t="s">
        <v>68</v>
      </c>
      <c r="C19" s="45" t="s">
        <v>142</v>
      </c>
      <c r="D19" s="107">
        <v>399.5</v>
      </c>
      <c r="E19" s="107">
        <v>471.9</v>
      </c>
      <c r="F19" s="107">
        <v>519.79999999999995</v>
      </c>
      <c r="G19" s="107">
        <v>580.1</v>
      </c>
      <c r="H19" s="107">
        <v>583.1</v>
      </c>
      <c r="I19" s="107">
        <v>590.9</v>
      </c>
      <c r="J19" s="107">
        <v>602.6</v>
      </c>
      <c r="K19" s="107">
        <v>603.4</v>
      </c>
      <c r="L19" s="107">
        <v>616.1</v>
      </c>
      <c r="M19" s="107">
        <v>628.5</v>
      </c>
      <c r="N19" s="107">
        <v>635.9</v>
      </c>
      <c r="O19" s="86">
        <v>650.29999999999995</v>
      </c>
      <c r="P19" s="108">
        <v>665.21</v>
      </c>
      <c r="Q19" s="79">
        <v>680.81</v>
      </c>
      <c r="R19" s="108">
        <v>683.70899999999995</v>
      </c>
      <c r="S19" s="108">
        <v>688.85400000000004</v>
      </c>
      <c r="T19" s="108">
        <v>701.149</v>
      </c>
      <c r="U19" s="108">
        <v>716.10400000000004</v>
      </c>
      <c r="V19" s="108">
        <v>720.40300000000002</v>
      </c>
      <c r="W19" s="108">
        <v>727.91800000000001</v>
      </c>
      <c r="X19" s="108">
        <v>735.41399999999999</v>
      </c>
      <c r="Y19" s="108">
        <v>746.71400000000006</v>
      </c>
      <c r="Z19" s="108">
        <v>757.21400000000006</v>
      </c>
      <c r="AA19" s="108">
        <v>766.11400000000003</v>
      </c>
      <c r="AB19" s="108">
        <v>781.21400000000006</v>
      </c>
      <c r="AC19" s="108">
        <v>791.11400000000003</v>
      </c>
      <c r="AD19" s="108">
        <v>810.35649999999998</v>
      </c>
      <c r="AE19" s="108">
        <v>792.16650000000004</v>
      </c>
      <c r="AF19" s="108">
        <v>789.50049999999999</v>
      </c>
      <c r="AG19" s="108">
        <v>822.66750000000002</v>
      </c>
      <c r="AH19" s="108">
        <v>845.48450000000003</v>
      </c>
      <c r="AI19" s="108">
        <f>Central_Government_Debt_M!BR19</f>
        <v>854.99749999999995</v>
      </c>
      <c r="AJ19" s="108">
        <f>Central_Government_Debt_M!BU19</f>
        <v>869.90549999999996</v>
      </c>
      <c r="AK19" s="108">
        <f>Central_Government_Debt_M!BX19</f>
        <v>881.37549999999999</v>
      </c>
      <c r="AL19" s="108">
        <f>Central_Government_Debt_M!CA19</f>
        <v>919.17550000000006</v>
      </c>
      <c r="AM19" s="108">
        <f>Central_Government_Debt_M!CD19</f>
        <v>926.17550000000006</v>
      </c>
      <c r="AN19" s="108">
        <f>Central_Government_Debt_M!CG19</f>
        <v>941.32550000000003</v>
      </c>
      <c r="AO19" s="108">
        <f>Central_Government_Debt_M!CK19</f>
        <v>960.42550000000006</v>
      </c>
    </row>
    <row r="20" spans="1:103">
      <c r="A20" s="17" t="s">
        <v>143</v>
      </c>
      <c r="B20" s="31" t="s">
        <v>28</v>
      </c>
      <c r="C20" s="45" t="s">
        <v>143</v>
      </c>
      <c r="D20" s="107">
        <v>41.6</v>
      </c>
      <c r="E20" s="107">
        <v>101</v>
      </c>
      <c r="F20" s="107">
        <v>135.69999999999999</v>
      </c>
      <c r="G20" s="107">
        <v>135.1</v>
      </c>
      <c r="H20" s="107">
        <v>134.5</v>
      </c>
      <c r="I20" s="107">
        <v>133.4</v>
      </c>
      <c r="J20" s="107">
        <v>126.4</v>
      </c>
      <c r="K20" s="107">
        <v>108.6</v>
      </c>
      <c r="L20" s="107">
        <v>99.6</v>
      </c>
      <c r="M20" s="107">
        <v>119.3</v>
      </c>
      <c r="N20" s="107">
        <v>134.19999999999999</v>
      </c>
      <c r="O20" s="86">
        <v>110.2</v>
      </c>
      <c r="P20" s="108">
        <v>110.1</v>
      </c>
      <c r="Q20" s="79">
        <v>110.1</v>
      </c>
      <c r="R20" s="108">
        <v>110.095</v>
      </c>
      <c r="S20" s="108">
        <v>102.995</v>
      </c>
      <c r="T20" s="108">
        <v>101.825</v>
      </c>
      <c r="U20" s="108">
        <v>89.725000000000023</v>
      </c>
      <c r="V20" s="108">
        <v>80.425000000000011</v>
      </c>
      <c r="W20" s="108">
        <v>98.724999999999994</v>
      </c>
      <c r="X20" s="108">
        <v>98.724999999999994</v>
      </c>
      <c r="Y20" s="108">
        <v>118.72499999999999</v>
      </c>
      <c r="Z20" s="108">
        <v>133.72499999999999</v>
      </c>
      <c r="AA20" s="108">
        <v>203.72499999999999</v>
      </c>
      <c r="AB20" s="108">
        <v>223.625</v>
      </c>
      <c r="AC20" s="108">
        <v>222.245</v>
      </c>
      <c r="AD20" s="108">
        <v>220.35</v>
      </c>
      <c r="AE20" s="108">
        <v>188.15</v>
      </c>
      <c r="AF20" s="108">
        <v>224.756</v>
      </c>
      <c r="AG20" s="108">
        <v>223.989</v>
      </c>
      <c r="AH20" s="108">
        <v>233.989</v>
      </c>
      <c r="AI20" s="108">
        <f>Central_Government_Debt_M!BR20</f>
        <v>259.589</v>
      </c>
      <c r="AJ20" s="108">
        <f>Central_Government_Debt_M!BU20</f>
        <v>284.78899999999999</v>
      </c>
      <c r="AK20" s="108">
        <f>Central_Government_Debt_M!BX20</f>
        <v>283.56299999999999</v>
      </c>
      <c r="AL20" s="108">
        <f>Central_Government_Debt_M!CA20</f>
        <v>283.56299999999999</v>
      </c>
      <c r="AM20" s="108">
        <f>Central_Government_Debt_M!CD20</f>
        <v>283.56299999999999</v>
      </c>
      <c r="AN20" s="108">
        <f>Central_Government_Debt_M!CG20</f>
        <v>293.56299999999999</v>
      </c>
      <c r="AO20" s="108">
        <f>Central_Government_Debt_M!CK20</f>
        <v>293.56299999999999</v>
      </c>
    </row>
    <row r="21" spans="1:103">
      <c r="A21" s="17" t="s">
        <v>144</v>
      </c>
      <c r="B21" s="31" t="s">
        <v>69</v>
      </c>
      <c r="C21" s="45" t="s">
        <v>144</v>
      </c>
      <c r="D21" s="107">
        <v>94.4</v>
      </c>
      <c r="E21" s="107">
        <v>87.2</v>
      </c>
      <c r="F21" s="107">
        <v>84.4</v>
      </c>
      <c r="G21" s="107">
        <v>82.7</v>
      </c>
      <c r="H21" s="107">
        <v>80.7</v>
      </c>
      <c r="I21" s="107">
        <v>80.400000000000006</v>
      </c>
      <c r="J21" s="107">
        <v>79.099999999999994</v>
      </c>
      <c r="K21" s="107">
        <v>75.8</v>
      </c>
      <c r="L21" s="107">
        <v>75.099999999999994</v>
      </c>
      <c r="M21" s="107">
        <v>75.599999999999994</v>
      </c>
      <c r="N21" s="107">
        <v>75.7</v>
      </c>
      <c r="O21" s="86">
        <v>75.7</v>
      </c>
      <c r="P21" s="108">
        <v>75.47</v>
      </c>
      <c r="Q21" s="79">
        <v>72.319999999999993</v>
      </c>
      <c r="R21" s="108">
        <v>61.197000000000003</v>
      </c>
      <c r="S21" s="108">
        <v>59.424999999999997</v>
      </c>
      <c r="T21" s="108">
        <v>59.750999999999998</v>
      </c>
      <c r="U21" s="108">
        <v>60.051000000000002</v>
      </c>
      <c r="V21" s="108">
        <v>210.245</v>
      </c>
      <c r="W21" s="108">
        <v>360.12</v>
      </c>
      <c r="X21" s="108">
        <v>360.34100000000001</v>
      </c>
      <c r="Y21" s="108">
        <v>360.43900000000002</v>
      </c>
      <c r="Z21" s="108">
        <v>360.98200000000003</v>
      </c>
      <c r="AA21" s="108">
        <v>360.76799999999997</v>
      </c>
      <c r="AB21" s="108">
        <v>575.91099999999994</v>
      </c>
      <c r="AC21" s="108">
        <v>684.57399999999996</v>
      </c>
      <c r="AD21" s="108">
        <v>694.84199999999998</v>
      </c>
      <c r="AE21" s="108">
        <v>694.83900000000006</v>
      </c>
      <c r="AF21" s="108">
        <v>695.54200000000003</v>
      </c>
      <c r="AG21" s="108">
        <v>695.18399999999997</v>
      </c>
      <c r="AH21" s="108">
        <v>695.56899999999996</v>
      </c>
      <c r="AI21" s="108">
        <f>Central_Government_Debt_M!BR21</f>
        <v>694.29600000000005</v>
      </c>
      <c r="AJ21" s="108">
        <f>Central_Government_Debt_M!BU21</f>
        <v>694.65300000000002</v>
      </c>
      <c r="AK21" s="108">
        <f>Central_Government_Debt_M!BX21</f>
        <v>725.19399999999996</v>
      </c>
      <c r="AL21" s="108">
        <f>Central_Government_Debt_M!CA21</f>
        <v>711.23900000000003</v>
      </c>
      <c r="AM21" s="108">
        <f>Central_Government_Debt_M!CD21</f>
        <v>710.45</v>
      </c>
      <c r="AN21" s="108">
        <f>Central_Government_Debt_M!CG21</f>
        <v>711.35599999999999</v>
      </c>
      <c r="AO21" s="108">
        <f>Central_Government_Debt_M!CK21</f>
        <v>711.61500000000001</v>
      </c>
    </row>
    <row r="22" spans="1:103">
      <c r="A22" s="17" t="s">
        <v>145</v>
      </c>
      <c r="B22" s="31" t="s">
        <v>70</v>
      </c>
      <c r="C22" s="45" t="s">
        <v>145</v>
      </c>
      <c r="D22" s="107">
        <v>30.2</v>
      </c>
      <c r="E22" s="107">
        <v>30.8</v>
      </c>
      <c r="F22" s="107">
        <v>31.8</v>
      </c>
      <c r="G22" s="107">
        <v>29.9</v>
      </c>
      <c r="H22" s="107">
        <v>29</v>
      </c>
      <c r="I22" s="107">
        <v>28.7</v>
      </c>
      <c r="J22" s="107">
        <v>29.9</v>
      </c>
      <c r="K22" s="107">
        <v>30.1</v>
      </c>
      <c r="L22" s="107">
        <v>30.1</v>
      </c>
      <c r="M22" s="107">
        <v>29.8</v>
      </c>
      <c r="N22" s="107">
        <v>29.9</v>
      </c>
      <c r="O22" s="86">
        <v>28.4</v>
      </c>
      <c r="P22" s="108">
        <v>27.22</v>
      </c>
      <c r="Q22" s="79">
        <v>24.14</v>
      </c>
      <c r="R22" s="108">
        <v>23.739000000000001</v>
      </c>
      <c r="S22" s="108">
        <v>23.739000000000001</v>
      </c>
      <c r="T22" s="108">
        <v>22.309000000000001</v>
      </c>
      <c r="U22" s="108">
        <v>22.109000000000002</v>
      </c>
      <c r="V22" s="108">
        <v>21.497</v>
      </c>
      <c r="W22" s="108">
        <v>20.777000000000001</v>
      </c>
      <c r="X22" s="108">
        <v>23.707000000000001</v>
      </c>
      <c r="Y22" s="108">
        <v>23.707000000000001</v>
      </c>
      <c r="Z22" s="108">
        <v>23.606999999999999</v>
      </c>
      <c r="AA22" s="108">
        <v>21.407</v>
      </c>
      <c r="AB22" s="108">
        <v>24.207000000000001</v>
      </c>
      <c r="AC22" s="108">
        <v>22.407</v>
      </c>
      <c r="AD22" s="108">
        <v>21.206999999999997</v>
      </c>
      <c r="AE22" s="108">
        <v>20.907</v>
      </c>
      <c r="AF22" s="108">
        <v>21.457000000000001</v>
      </c>
      <c r="AG22" s="108">
        <v>21.457000000000001</v>
      </c>
      <c r="AH22" s="108">
        <v>21.457000000000001</v>
      </c>
      <c r="AI22" s="108">
        <f>Central_Government_Debt_M!BR22</f>
        <v>19.312999999999999</v>
      </c>
      <c r="AJ22" s="108">
        <f>Central_Government_Debt_M!BU22</f>
        <v>19.838999999999999</v>
      </c>
      <c r="AK22" s="108">
        <f>Central_Government_Debt_M!BX22</f>
        <v>20.638999999999999</v>
      </c>
      <c r="AL22" s="108">
        <f>Central_Government_Debt_M!CA22</f>
        <v>20.039000000000001</v>
      </c>
      <c r="AM22" s="108">
        <f>Central_Government_Debt_M!CD22</f>
        <v>19.768999999999998</v>
      </c>
      <c r="AN22" s="108">
        <f>Central_Government_Debt_M!CG22</f>
        <v>20.344000000000001</v>
      </c>
      <c r="AO22" s="108">
        <f>Central_Government_Debt_M!CK22</f>
        <v>20.143999999999998</v>
      </c>
    </row>
    <row r="23" spans="1:103">
      <c r="A23" s="17" t="s">
        <v>146</v>
      </c>
      <c r="B23" s="31" t="s">
        <v>71</v>
      </c>
      <c r="C23" s="45" t="s">
        <v>146</v>
      </c>
      <c r="D23" s="107">
        <v>23.3</v>
      </c>
      <c r="E23" s="107">
        <v>24.1</v>
      </c>
      <c r="F23" s="107">
        <v>23.3</v>
      </c>
      <c r="G23" s="107">
        <v>21.8</v>
      </c>
      <c r="H23" s="107">
        <v>21.8</v>
      </c>
      <c r="I23" s="107">
        <v>22.3</v>
      </c>
      <c r="J23" s="107">
        <v>22.3</v>
      </c>
      <c r="K23" s="107">
        <v>23</v>
      </c>
      <c r="L23" s="107">
        <v>23.9</v>
      </c>
      <c r="M23" s="107">
        <v>24.7</v>
      </c>
      <c r="N23" s="107">
        <v>24.7</v>
      </c>
      <c r="O23" s="86">
        <v>25.7</v>
      </c>
      <c r="P23" s="108">
        <v>29.53</v>
      </c>
      <c r="Q23" s="79">
        <v>26.03</v>
      </c>
      <c r="R23" s="108">
        <v>26.033000000000001</v>
      </c>
      <c r="S23" s="108">
        <v>26.033000000000001</v>
      </c>
      <c r="T23" s="108">
        <v>19.332999999999998</v>
      </c>
      <c r="U23" s="108">
        <v>19.533000000000001</v>
      </c>
      <c r="V23" s="108">
        <v>20.338000000000001</v>
      </c>
      <c r="W23" s="108">
        <v>22.738</v>
      </c>
      <c r="X23" s="108">
        <v>18.638000000000002</v>
      </c>
      <c r="Y23" s="108">
        <v>18.638000000000002</v>
      </c>
      <c r="Z23" s="108">
        <v>18.638000000000002</v>
      </c>
      <c r="AA23" s="108">
        <v>18.638000000000002</v>
      </c>
      <c r="AB23" s="108">
        <v>22.538</v>
      </c>
      <c r="AC23" s="108">
        <v>18.538</v>
      </c>
      <c r="AD23" s="108">
        <v>22.538</v>
      </c>
      <c r="AE23" s="108">
        <v>17.038</v>
      </c>
      <c r="AF23" s="108">
        <v>16.437999999999999</v>
      </c>
      <c r="AG23" s="108">
        <v>16.437999999999999</v>
      </c>
      <c r="AH23" s="108">
        <v>16.437999999999999</v>
      </c>
      <c r="AI23" s="108">
        <f>Central_Government_Debt_M!BR23</f>
        <v>20.238</v>
      </c>
      <c r="AJ23" s="108">
        <f>Central_Government_Debt_M!BU23</f>
        <v>20.138000000000002</v>
      </c>
      <c r="AK23" s="108">
        <f>Central_Government_Debt_M!BX23</f>
        <v>24.138000000000002</v>
      </c>
      <c r="AL23" s="108">
        <f>Central_Government_Debt_M!CA23</f>
        <v>24.138000000000002</v>
      </c>
      <c r="AM23" s="108">
        <f>Central_Government_Debt_M!CD23</f>
        <v>23.937999999999999</v>
      </c>
      <c r="AN23" s="108">
        <f>Central_Government_Debt_M!CG23</f>
        <v>23.937999999999999</v>
      </c>
      <c r="AO23" s="108">
        <f>Central_Government_Debt_M!CK23</f>
        <v>23.437999999999999</v>
      </c>
    </row>
    <row r="24" spans="1:103">
      <c r="A24" s="17" t="s">
        <v>147</v>
      </c>
      <c r="B24" s="31" t="s">
        <v>72</v>
      </c>
      <c r="C24" s="45" t="s">
        <v>147</v>
      </c>
      <c r="D24" s="107">
        <v>9.3000000000000007</v>
      </c>
      <c r="E24" s="107">
        <v>9.3000000000000007</v>
      </c>
      <c r="F24" s="107">
        <v>9.3000000000000007</v>
      </c>
      <c r="G24" s="107">
        <v>9.3000000000000007</v>
      </c>
      <c r="H24" s="107">
        <v>9.3000000000000007</v>
      </c>
      <c r="I24" s="107">
        <v>9.3000000000000007</v>
      </c>
      <c r="J24" s="107">
        <v>9.3000000000000007</v>
      </c>
      <c r="K24" s="107">
        <v>9.3000000000000007</v>
      </c>
      <c r="L24" s="107">
        <v>9.3000000000000007</v>
      </c>
      <c r="M24" s="107">
        <v>9.3000000000000007</v>
      </c>
      <c r="N24" s="107">
        <v>9.3000000000000007</v>
      </c>
      <c r="O24" s="86">
        <v>9.6</v>
      </c>
      <c r="P24" s="108">
        <v>8.5500000000000007</v>
      </c>
      <c r="Q24" s="79">
        <v>5.55</v>
      </c>
      <c r="R24" s="108">
        <v>5.55</v>
      </c>
      <c r="S24" s="108">
        <v>5.55</v>
      </c>
      <c r="T24" s="108">
        <v>5.55</v>
      </c>
      <c r="U24" s="108">
        <v>5.55</v>
      </c>
      <c r="V24" s="108">
        <v>5.05</v>
      </c>
      <c r="W24" s="108">
        <v>5.05</v>
      </c>
      <c r="X24" s="108">
        <v>5.05</v>
      </c>
      <c r="Y24" s="108">
        <v>5.05</v>
      </c>
      <c r="Z24" s="108">
        <v>5.05</v>
      </c>
      <c r="AA24" s="108">
        <v>5.05</v>
      </c>
      <c r="AB24" s="108">
        <v>5.05</v>
      </c>
      <c r="AC24" s="108">
        <v>5.05</v>
      </c>
      <c r="AD24" s="108">
        <v>5.05</v>
      </c>
      <c r="AE24" s="108">
        <v>4.95</v>
      </c>
      <c r="AF24" s="108">
        <v>4.95</v>
      </c>
      <c r="AG24" s="108">
        <v>2.95</v>
      </c>
      <c r="AH24" s="108">
        <v>2.0499999999999998</v>
      </c>
      <c r="AI24" s="108">
        <f>Central_Government_Debt_M!BR24</f>
        <v>0.8</v>
      </c>
      <c r="AJ24" s="108">
        <f>Central_Government_Debt_M!BU24</f>
        <v>0.8</v>
      </c>
      <c r="AK24" s="108">
        <f>Central_Government_Debt_M!BX24</f>
        <v>0.8</v>
      </c>
      <c r="AL24" s="108">
        <f>Central_Government_Debt_M!CA24</f>
        <v>0.8</v>
      </c>
      <c r="AM24" s="108">
        <f>Central_Government_Debt_M!CD24</f>
        <v>0.8</v>
      </c>
      <c r="AN24" s="108">
        <f>Central_Government_Debt_M!CG24</f>
        <v>0.8</v>
      </c>
      <c r="AO24" s="108">
        <f>Central_Government_Debt_M!CK24</f>
        <v>0.8</v>
      </c>
    </row>
    <row r="25" spans="1:103">
      <c r="A25" s="17" t="s">
        <v>148</v>
      </c>
      <c r="B25" s="31" t="s">
        <v>73</v>
      </c>
      <c r="C25" s="45" t="s">
        <v>148</v>
      </c>
      <c r="D25" s="107">
        <v>19.399999999999999</v>
      </c>
      <c r="E25" s="107">
        <v>1.5</v>
      </c>
      <c r="F25" s="107">
        <v>1.4</v>
      </c>
      <c r="G25" s="107">
        <v>1.4</v>
      </c>
      <c r="H25" s="107">
        <v>1.4</v>
      </c>
      <c r="I25" s="107">
        <v>1.4</v>
      </c>
      <c r="J25" s="107">
        <v>1.4</v>
      </c>
      <c r="K25" s="107">
        <v>1.4</v>
      </c>
      <c r="L25" s="107">
        <v>1.4</v>
      </c>
      <c r="M25" s="107">
        <v>1.4</v>
      </c>
      <c r="N25" s="107">
        <v>1.4</v>
      </c>
      <c r="O25" s="86">
        <v>1.4</v>
      </c>
      <c r="P25" s="108">
        <v>0.9</v>
      </c>
      <c r="Q25" s="79">
        <v>0.9</v>
      </c>
      <c r="R25" s="108">
        <v>0.8</v>
      </c>
      <c r="S25" s="108">
        <v>0.8</v>
      </c>
      <c r="T25" s="108">
        <v>0.8</v>
      </c>
      <c r="U25" s="108">
        <v>0.8</v>
      </c>
      <c r="V25" s="108">
        <v>0</v>
      </c>
      <c r="W25" s="108">
        <v>0</v>
      </c>
      <c r="X25" s="108">
        <v>0</v>
      </c>
      <c r="Y25" s="108">
        <v>0</v>
      </c>
      <c r="Z25" s="108">
        <v>0</v>
      </c>
      <c r="AA25" s="108">
        <v>0</v>
      </c>
      <c r="AB25" s="108">
        <v>0</v>
      </c>
      <c r="AC25" s="108">
        <v>0</v>
      </c>
      <c r="AD25" s="108">
        <v>0</v>
      </c>
      <c r="AE25" s="108">
        <v>0</v>
      </c>
      <c r="AF25" s="108">
        <v>0</v>
      </c>
      <c r="AG25" s="108">
        <v>0</v>
      </c>
      <c r="AH25" s="108">
        <v>0</v>
      </c>
      <c r="AI25" s="108">
        <f>Central_Government_Debt_M!BR25</f>
        <v>0</v>
      </c>
      <c r="AJ25" s="108">
        <f>Central_Government_Debt_M!BU25</f>
        <v>0</v>
      </c>
      <c r="AK25" s="108">
        <f>Central_Government_Debt_M!BX25</f>
        <v>0</v>
      </c>
      <c r="AL25" s="108">
        <f>Central_Government_Debt_M!CA25</f>
        <v>0</v>
      </c>
      <c r="AM25" s="108">
        <f>Central_Government_Debt_M!CD25</f>
        <v>0</v>
      </c>
      <c r="AN25" s="108">
        <f>Central_Government_Debt_M!CG25</f>
        <v>0</v>
      </c>
      <c r="AO25" s="108">
        <f>Central_Government_Debt_M!CK25</f>
        <v>0</v>
      </c>
    </row>
    <row r="26" spans="1:103">
      <c r="A26" s="17" t="s">
        <v>149</v>
      </c>
      <c r="B26" s="31" t="s">
        <v>27</v>
      </c>
      <c r="C26" s="45" t="s">
        <v>149</v>
      </c>
      <c r="D26" s="107">
        <v>54.6</v>
      </c>
      <c r="E26" s="107">
        <v>52</v>
      </c>
      <c r="F26" s="107">
        <v>54.7</v>
      </c>
      <c r="G26" s="107">
        <v>58.2</v>
      </c>
      <c r="H26" s="107">
        <v>60.2</v>
      </c>
      <c r="I26" s="107">
        <v>60.1</v>
      </c>
      <c r="J26" s="107">
        <v>62.1</v>
      </c>
      <c r="K26" s="107">
        <v>62</v>
      </c>
      <c r="L26" s="107">
        <v>61.3</v>
      </c>
      <c r="M26" s="107">
        <v>68.5</v>
      </c>
      <c r="N26" s="107">
        <v>67.7</v>
      </c>
      <c r="O26" s="86">
        <v>69.400000000000006</v>
      </c>
      <c r="P26" s="108">
        <v>61.15</v>
      </c>
      <c r="Q26" s="79">
        <v>61.98</v>
      </c>
      <c r="R26" s="108">
        <v>59.502000000000002</v>
      </c>
      <c r="S26" s="108">
        <v>54.744500000000002</v>
      </c>
      <c r="T26" s="108">
        <v>52.5715</v>
      </c>
      <c r="U26" s="108">
        <v>59.107500000000002</v>
      </c>
      <c r="V26" s="108">
        <v>62.040500000000009</v>
      </c>
      <c r="W26" s="108">
        <v>66.186499999999995</v>
      </c>
      <c r="X26" s="108">
        <v>69.965500000000006</v>
      </c>
      <c r="Y26" s="108">
        <v>69.876499999999993</v>
      </c>
      <c r="Z26" s="108">
        <v>74.333500000000001</v>
      </c>
      <c r="AA26" s="108">
        <v>74.085499999999996</v>
      </c>
      <c r="AB26" s="108">
        <v>73.073499999999996</v>
      </c>
      <c r="AC26" s="108">
        <v>78.3005</v>
      </c>
      <c r="AD26" s="108">
        <v>74.122500000000002</v>
      </c>
      <c r="AE26" s="108">
        <v>97.742500000000007</v>
      </c>
      <c r="AF26" s="108">
        <v>104.87649999999999</v>
      </c>
      <c r="AG26" s="108">
        <v>105.9075</v>
      </c>
      <c r="AH26" s="108">
        <v>108.68049999999999</v>
      </c>
      <c r="AI26" s="108">
        <f>Central_Government_Debt_M!BR26</f>
        <v>59.852499999999999</v>
      </c>
      <c r="AJ26" s="108">
        <f>Central_Government_Debt_M!BU26</f>
        <v>64.003500000000003</v>
      </c>
      <c r="AK26" s="108">
        <f>Central_Government_Debt_M!BX26</f>
        <v>64.283500000000004</v>
      </c>
      <c r="AL26" s="108">
        <f>Central_Government_Debt_M!CA26</f>
        <v>64.628500000000003</v>
      </c>
      <c r="AM26" s="108">
        <f>Central_Government_Debt_M!CD26</f>
        <v>61.403500000000001</v>
      </c>
      <c r="AN26" s="108">
        <f>Central_Government_Debt_M!CG26</f>
        <v>67.778499999999994</v>
      </c>
      <c r="AO26" s="108">
        <f>Central_Government_Debt_M!CK26</f>
        <v>66.596500000000006</v>
      </c>
    </row>
    <row r="27" spans="1:103">
      <c r="A27" s="17" t="s">
        <v>150</v>
      </c>
      <c r="B27" s="52" t="s">
        <v>74</v>
      </c>
      <c r="C27" s="45" t="s">
        <v>150</v>
      </c>
      <c r="D27" s="81">
        <v>99.5</v>
      </c>
      <c r="E27" s="81">
        <v>82.6</v>
      </c>
      <c r="F27" s="81">
        <v>165.7</v>
      </c>
      <c r="G27" s="81">
        <v>165.2</v>
      </c>
      <c r="H27" s="81">
        <v>81.3</v>
      </c>
      <c r="I27" s="81">
        <v>33.6</v>
      </c>
      <c r="J27" s="81">
        <v>32.9</v>
      </c>
      <c r="K27" s="81">
        <v>96.4</v>
      </c>
      <c r="L27" s="81">
        <v>78.5</v>
      </c>
      <c r="M27" s="81">
        <v>45</v>
      </c>
      <c r="N27" s="81">
        <v>75</v>
      </c>
      <c r="O27" s="111">
        <v>187.5</v>
      </c>
      <c r="P27" s="112">
        <v>169.52</v>
      </c>
      <c r="Q27" s="112">
        <v>141.52000000000001</v>
      </c>
      <c r="R27" s="112">
        <v>98.015000000000001</v>
      </c>
      <c r="S27" s="112">
        <v>307.5</v>
      </c>
      <c r="T27" s="112">
        <v>300</v>
      </c>
      <c r="U27" s="112">
        <v>275</v>
      </c>
      <c r="V27" s="112">
        <v>268.7</v>
      </c>
      <c r="W27" s="112">
        <v>269.7</v>
      </c>
      <c r="X27" s="112">
        <v>269.7</v>
      </c>
      <c r="Y27" s="112">
        <v>259.7</v>
      </c>
      <c r="Z27" s="112">
        <v>302.5</v>
      </c>
      <c r="AA27" s="112">
        <v>273.5</v>
      </c>
      <c r="AB27" s="112">
        <v>273.5</v>
      </c>
      <c r="AC27" s="112">
        <v>273.5</v>
      </c>
      <c r="AD27" s="112">
        <v>452.5</v>
      </c>
      <c r="AE27" s="112">
        <v>283.5</v>
      </c>
      <c r="AF27" s="112">
        <v>281.5</v>
      </c>
      <c r="AG27" s="112">
        <f t="shared" ref="AG27:AO27" si="6">SUM(AG28:AG32)</f>
        <v>277</v>
      </c>
      <c r="AH27" s="112">
        <f t="shared" si="6"/>
        <v>272.10000000000002</v>
      </c>
      <c r="AI27" s="112">
        <f t="shared" si="6"/>
        <v>265.10000000000002</v>
      </c>
      <c r="AJ27" s="112">
        <f t="shared" si="6"/>
        <v>370.005</v>
      </c>
      <c r="AK27" s="112">
        <f t="shared" si="6"/>
        <v>350</v>
      </c>
      <c r="AL27" s="112">
        <f t="shared" si="6"/>
        <v>330</v>
      </c>
      <c r="AM27" s="112">
        <f t="shared" si="6"/>
        <v>279</v>
      </c>
      <c r="AN27" s="112">
        <f t="shared" si="6"/>
        <v>235</v>
      </c>
      <c r="AO27" s="112">
        <f t="shared" si="6"/>
        <v>310</v>
      </c>
    </row>
    <row r="28" spans="1:103" s="46" customFormat="1">
      <c r="A28" s="42"/>
      <c r="B28" s="103" t="s">
        <v>69</v>
      </c>
      <c r="C28" s="45" t="s">
        <v>217</v>
      </c>
      <c r="D28" s="108">
        <v>0</v>
      </c>
      <c r="E28" s="108">
        <v>0</v>
      </c>
      <c r="F28" s="108">
        <v>0</v>
      </c>
      <c r="G28" s="108">
        <v>0</v>
      </c>
      <c r="H28" s="108">
        <v>0</v>
      </c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108">
        <v>0</v>
      </c>
      <c r="O28" s="108">
        <v>0</v>
      </c>
      <c r="P28" s="108">
        <v>0</v>
      </c>
      <c r="Q28" s="108">
        <v>0</v>
      </c>
      <c r="R28" s="108">
        <v>50</v>
      </c>
      <c r="S28" s="108">
        <v>105</v>
      </c>
      <c r="T28" s="108">
        <v>80</v>
      </c>
      <c r="U28" s="108">
        <v>48.5</v>
      </c>
      <c r="V28" s="108">
        <v>42</v>
      </c>
      <c r="W28" s="108">
        <v>0</v>
      </c>
      <c r="X28" s="108">
        <v>0</v>
      </c>
      <c r="Y28" s="108">
        <v>0</v>
      </c>
      <c r="Z28" s="108">
        <v>0</v>
      </c>
      <c r="AA28" s="108">
        <v>0</v>
      </c>
      <c r="AB28" s="108">
        <v>0</v>
      </c>
      <c r="AC28" s="108">
        <v>0</v>
      </c>
      <c r="AD28" s="108">
        <v>0</v>
      </c>
      <c r="AE28" s="108">
        <v>0</v>
      </c>
      <c r="AF28" s="108">
        <v>0</v>
      </c>
      <c r="AG28" s="108">
        <v>0</v>
      </c>
      <c r="AH28" s="108">
        <v>0</v>
      </c>
      <c r="AI28" s="108">
        <f>Central_Government_Debt_M!BR28</f>
        <v>0</v>
      </c>
      <c r="AJ28" s="108">
        <f>Central_Government_Debt_M!BU28</f>
        <v>0</v>
      </c>
      <c r="AK28" s="108">
        <f>Central_Government_Debt_M!BX28</f>
        <v>0</v>
      </c>
      <c r="AL28" s="108">
        <f>Central_Government_Debt_M!CA28</f>
        <v>0</v>
      </c>
      <c r="AM28" s="108">
        <f>Central_Government_Debt_M!CD28</f>
        <v>0</v>
      </c>
      <c r="AN28" s="108">
        <f>Central_Government_Debt_M!CG28</f>
        <v>0</v>
      </c>
      <c r="AO28" s="108">
        <f>Central_Government_Debt_M!CK28</f>
        <v>0</v>
      </c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</row>
    <row r="29" spans="1:103">
      <c r="A29" s="19" t="s">
        <v>151</v>
      </c>
      <c r="B29" s="31" t="s">
        <v>28</v>
      </c>
      <c r="C29" s="45" t="s">
        <v>151</v>
      </c>
      <c r="D29" s="107">
        <v>52.5</v>
      </c>
      <c r="E29" s="107">
        <v>60.6</v>
      </c>
      <c r="F29" s="107">
        <v>134.4</v>
      </c>
      <c r="G29" s="107">
        <v>164.5</v>
      </c>
      <c r="H29" s="107">
        <v>80.5</v>
      </c>
      <c r="I29" s="107">
        <v>33</v>
      </c>
      <c r="J29" s="107">
        <v>32.9</v>
      </c>
      <c r="K29" s="107">
        <v>96.4</v>
      </c>
      <c r="L29" s="107">
        <v>78.5</v>
      </c>
      <c r="M29" s="107">
        <v>38.200000000000003</v>
      </c>
      <c r="N29" s="107">
        <v>68.2</v>
      </c>
      <c r="O29" s="86">
        <v>179</v>
      </c>
      <c r="P29" s="108">
        <v>163.16999999999999</v>
      </c>
      <c r="Q29" s="86">
        <v>139.16999999999999</v>
      </c>
      <c r="R29" s="108">
        <v>48</v>
      </c>
      <c r="S29" s="108">
        <v>188</v>
      </c>
      <c r="T29" s="108">
        <v>206</v>
      </c>
      <c r="U29" s="108">
        <v>212.5</v>
      </c>
      <c r="V29" s="108">
        <v>214.7</v>
      </c>
      <c r="W29" s="108">
        <v>269.5</v>
      </c>
      <c r="X29" s="108">
        <v>269.39999999999998</v>
      </c>
      <c r="Y29" s="108">
        <v>259.5</v>
      </c>
      <c r="Z29" s="108">
        <v>302.28100000000001</v>
      </c>
      <c r="AA29" s="108">
        <v>273.48099999999999</v>
      </c>
      <c r="AB29" s="108">
        <v>273.476</v>
      </c>
      <c r="AC29" s="108">
        <v>273.5</v>
      </c>
      <c r="AD29" s="108">
        <v>452.5</v>
      </c>
      <c r="AE29" s="108">
        <v>283.5</v>
      </c>
      <c r="AF29" s="108">
        <v>281.5</v>
      </c>
      <c r="AG29" s="108">
        <v>277</v>
      </c>
      <c r="AH29" s="108">
        <v>272.10000000000002</v>
      </c>
      <c r="AI29" s="108">
        <f>Central_Government_Debt_M!BR29</f>
        <v>265.10000000000002</v>
      </c>
      <c r="AJ29" s="108">
        <f>Central_Government_Debt_M!BU29</f>
        <v>370.005</v>
      </c>
      <c r="AK29" s="108">
        <f>Central_Government_Debt_M!BX29</f>
        <v>350</v>
      </c>
      <c r="AL29" s="108">
        <f>Central_Government_Debt_M!CA29</f>
        <v>330</v>
      </c>
      <c r="AM29" s="108">
        <f>Central_Government_Debt_M!CD29</f>
        <v>279</v>
      </c>
      <c r="AN29" s="108">
        <f>Central_Government_Debt_M!CG29</f>
        <v>235</v>
      </c>
      <c r="AO29" s="108">
        <f>Central_Government_Debt_M!CK29</f>
        <v>305</v>
      </c>
    </row>
    <row r="30" spans="1:103">
      <c r="A30" s="17" t="s">
        <v>152</v>
      </c>
      <c r="B30" s="31" t="s">
        <v>26</v>
      </c>
      <c r="C30" s="45" t="s">
        <v>152</v>
      </c>
      <c r="D30" s="107">
        <v>47</v>
      </c>
      <c r="E30" s="107">
        <v>22</v>
      </c>
      <c r="F30" s="107">
        <v>23.9</v>
      </c>
      <c r="G30" s="107">
        <v>0</v>
      </c>
      <c r="H30" s="107">
        <v>0</v>
      </c>
      <c r="I30" s="107">
        <v>0</v>
      </c>
      <c r="J30" s="107">
        <v>0</v>
      </c>
      <c r="K30" s="107">
        <v>0</v>
      </c>
      <c r="L30" s="86">
        <v>0</v>
      </c>
      <c r="M30" s="107">
        <v>4.5</v>
      </c>
      <c r="N30" s="107">
        <v>4.5</v>
      </c>
      <c r="O30" s="86">
        <v>4.5</v>
      </c>
      <c r="P30" s="108">
        <v>0</v>
      </c>
      <c r="Q30" s="108">
        <v>0</v>
      </c>
      <c r="R30" s="108">
        <v>0</v>
      </c>
      <c r="S30" s="108">
        <v>10</v>
      </c>
      <c r="T30" s="108">
        <v>10</v>
      </c>
      <c r="U30" s="108">
        <v>10</v>
      </c>
      <c r="V30" s="108">
        <v>10</v>
      </c>
      <c r="W30" s="108">
        <v>0</v>
      </c>
      <c r="X30" s="108">
        <v>0</v>
      </c>
      <c r="Y30" s="108">
        <v>0</v>
      </c>
      <c r="Z30" s="108">
        <v>0</v>
      </c>
      <c r="AA30" s="108">
        <v>0</v>
      </c>
      <c r="AB30" s="108">
        <v>0</v>
      </c>
      <c r="AC30" s="108">
        <v>0</v>
      </c>
      <c r="AD30" s="108">
        <v>0</v>
      </c>
      <c r="AE30" s="108">
        <v>0</v>
      </c>
      <c r="AF30" s="108">
        <v>0</v>
      </c>
      <c r="AG30" s="108">
        <v>0</v>
      </c>
      <c r="AH30" s="108">
        <v>0</v>
      </c>
      <c r="AI30" s="108">
        <f>Central_Government_Debt_M!BR30</f>
        <v>0</v>
      </c>
      <c r="AJ30" s="108">
        <f>Central_Government_Debt_M!BU30</f>
        <v>0</v>
      </c>
      <c r="AK30" s="108">
        <f>Central_Government_Debt_M!BX30</f>
        <v>0</v>
      </c>
      <c r="AL30" s="108">
        <f>Central_Government_Debt_M!CA30</f>
        <v>0</v>
      </c>
      <c r="AM30" s="108">
        <f>Central_Government_Debt_M!CD30</f>
        <v>0</v>
      </c>
      <c r="AN30" s="108">
        <f>Central_Government_Debt_M!CG30</f>
        <v>0</v>
      </c>
      <c r="AO30" s="108">
        <f>Central_Government_Debt_M!CK30</f>
        <v>0</v>
      </c>
    </row>
    <row r="31" spans="1:103">
      <c r="A31" s="17" t="s">
        <v>153</v>
      </c>
      <c r="B31" s="31" t="s">
        <v>68</v>
      </c>
      <c r="C31" s="45" t="s">
        <v>153</v>
      </c>
      <c r="D31" s="107">
        <v>0</v>
      </c>
      <c r="E31" s="107">
        <v>0</v>
      </c>
      <c r="F31" s="107">
        <v>6</v>
      </c>
      <c r="G31" s="107">
        <v>0</v>
      </c>
      <c r="H31" s="107">
        <v>0</v>
      </c>
      <c r="I31" s="107">
        <v>0</v>
      </c>
      <c r="J31" s="107">
        <v>0</v>
      </c>
      <c r="K31" s="107">
        <v>0</v>
      </c>
      <c r="L31" s="86">
        <v>0</v>
      </c>
      <c r="M31" s="86">
        <v>0</v>
      </c>
      <c r="N31" s="86">
        <v>0</v>
      </c>
      <c r="O31" s="86">
        <v>0</v>
      </c>
      <c r="P31" s="108">
        <v>0</v>
      </c>
      <c r="Q31" s="108">
        <v>0</v>
      </c>
      <c r="R31" s="108">
        <v>0</v>
      </c>
      <c r="S31" s="108">
        <v>0.5</v>
      </c>
      <c r="T31" s="108">
        <v>0</v>
      </c>
      <c r="U31" s="108">
        <v>0</v>
      </c>
      <c r="V31" s="108">
        <v>0</v>
      </c>
      <c r="W31" s="108">
        <v>0</v>
      </c>
      <c r="X31" s="108">
        <v>0</v>
      </c>
      <c r="Y31" s="108">
        <v>0</v>
      </c>
      <c r="Z31" s="108">
        <v>0</v>
      </c>
      <c r="AA31" s="108">
        <v>0</v>
      </c>
      <c r="AB31" s="108">
        <v>0</v>
      </c>
      <c r="AC31" s="108">
        <v>0</v>
      </c>
      <c r="AD31" s="108">
        <v>0</v>
      </c>
      <c r="AE31" s="108">
        <v>0</v>
      </c>
      <c r="AF31" s="108">
        <v>0</v>
      </c>
      <c r="AG31" s="108">
        <v>0</v>
      </c>
      <c r="AH31" s="108">
        <v>0</v>
      </c>
      <c r="AI31" s="108">
        <f>Central_Government_Debt_M!BR31</f>
        <v>0</v>
      </c>
      <c r="AJ31" s="108">
        <f>Central_Government_Debt_M!BU31</f>
        <v>0</v>
      </c>
      <c r="AK31" s="108">
        <f>Central_Government_Debt_M!BX31</f>
        <v>0</v>
      </c>
      <c r="AL31" s="108">
        <f>Central_Government_Debt_M!CA31</f>
        <v>0</v>
      </c>
      <c r="AM31" s="108">
        <f>Central_Government_Debt_M!CD31</f>
        <v>0</v>
      </c>
      <c r="AN31" s="108">
        <f>Central_Government_Debt_M!CG31</f>
        <v>0</v>
      </c>
      <c r="AO31" s="108">
        <f>Central_Government_Debt_M!CK31</f>
        <v>0</v>
      </c>
    </row>
    <row r="32" spans="1:103">
      <c r="A32" t="s">
        <v>154</v>
      </c>
      <c r="B32" s="31" t="s">
        <v>27</v>
      </c>
      <c r="C32" s="45" t="s">
        <v>154</v>
      </c>
      <c r="D32" s="107">
        <v>0</v>
      </c>
      <c r="E32" s="107">
        <v>0</v>
      </c>
      <c r="F32" s="107">
        <v>1.5</v>
      </c>
      <c r="G32" s="107">
        <v>0.7</v>
      </c>
      <c r="H32" s="107">
        <v>0.8</v>
      </c>
      <c r="I32" s="107">
        <v>0.6</v>
      </c>
      <c r="J32" s="107">
        <v>0</v>
      </c>
      <c r="K32" s="107">
        <v>0</v>
      </c>
      <c r="L32" s="86">
        <v>0</v>
      </c>
      <c r="M32" s="107">
        <v>2.2000000000000002</v>
      </c>
      <c r="N32" s="107">
        <v>2.2000000000000002</v>
      </c>
      <c r="O32" s="86">
        <v>4</v>
      </c>
      <c r="P32" s="108">
        <v>6.3479999999999999</v>
      </c>
      <c r="Q32" s="86">
        <v>2.35</v>
      </c>
      <c r="R32" s="108">
        <v>1.4999999999999999E-2</v>
      </c>
      <c r="S32" s="108">
        <v>4</v>
      </c>
      <c r="T32" s="108">
        <v>4</v>
      </c>
      <c r="U32" s="108">
        <v>4</v>
      </c>
      <c r="V32" s="108">
        <v>2</v>
      </c>
      <c r="W32" s="108">
        <v>0.2</v>
      </c>
      <c r="X32" s="108">
        <v>0.3</v>
      </c>
      <c r="Y32" s="108">
        <v>0.2</v>
      </c>
      <c r="Z32" s="108">
        <v>0.219</v>
      </c>
      <c r="AA32" s="108">
        <v>1.9E-2</v>
      </c>
      <c r="AB32" s="108">
        <v>2.4E-2</v>
      </c>
      <c r="AC32" s="108">
        <v>0</v>
      </c>
      <c r="AD32" s="108">
        <v>0</v>
      </c>
      <c r="AE32" s="108">
        <v>0</v>
      </c>
      <c r="AF32" s="108">
        <v>0</v>
      </c>
      <c r="AG32" s="108">
        <v>0</v>
      </c>
      <c r="AH32" s="108">
        <v>0</v>
      </c>
      <c r="AI32" s="108">
        <f>Central_Government_Debt_M!BR32</f>
        <v>0</v>
      </c>
      <c r="AJ32" s="108">
        <f>Central_Government_Debt_M!BU32</f>
        <v>0</v>
      </c>
      <c r="AK32" s="108">
        <f>Central_Government_Debt_M!BX32</f>
        <v>0</v>
      </c>
      <c r="AL32" s="108">
        <f>Central_Government_Debt_M!CA32</f>
        <v>0</v>
      </c>
      <c r="AM32" s="108">
        <f>Central_Government_Debt_M!CD32</f>
        <v>0</v>
      </c>
      <c r="AN32" s="108">
        <f>Central_Government_Debt_M!CG32</f>
        <v>0</v>
      </c>
      <c r="AO32" s="108">
        <f>Central_Government_Debt_M!CK32</f>
        <v>5</v>
      </c>
    </row>
    <row r="33" spans="1:103">
      <c r="A33" t="s">
        <v>182</v>
      </c>
      <c r="B33" s="52" t="s">
        <v>77</v>
      </c>
      <c r="C33" s="45" t="s">
        <v>182</v>
      </c>
      <c r="D33" s="81">
        <v>6.3</v>
      </c>
      <c r="E33" s="81">
        <v>3.2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1">
        <v>0</v>
      </c>
      <c r="L33" s="111">
        <v>0</v>
      </c>
      <c r="M33" s="111">
        <v>0</v>
      </c>
      <c r="N33" s="111">
        <v>0</v>
      </c>
      <c r="O33" s="111">
        <f>O34</f>
        <v>0</v>
      </c>
      <c r="P33" s="76">
        <v>0</v>
      </c>
      <c r="Q33" s="76">
        <f>SUM(Q34)</f>
        <v>0</v>
      </c>
      <c r="R33" s="76">
        <f>SUM(R34)</f>
        <v>0</v>
      </c>
      <c r="S33" s="76">
        <f>SUM(S34)</f>
        <v>0</v>
      </c>
      <c r="T33" s="76">
        <f>SUM(T34)</f>
        <v>0</v>
      </c>
      <c r="U33" s="76">
        <v>0</v>
      </c>
      <c r="V33" s="76">
        <v>0</v>
      </c>
      <c r="W33" s="76">
        <v>25.79945055</v>
      </c>
      <c r="X33" s="76">
        <v>19.445533649999998</v>
      </c>
      <c r="Y33" s="76">
        <v>13.033377210000001</v>
      </c>
      <c r="Z33" s="76">
        <v>6.5466326700000002</v>
      </c>
      <c r="AA33" s="76">
        <v>0</v>
      </c>
      <c r="AB33" s="76">
        <v>0</v>
      </c>
      <c r="AC33" s="76">
        <v>0</v>
      </c>
      <c r="AD33" s="76">
        <v>0</v>
      </c>
      <c r="AE33" s="76">
        <v>0</v>
      </c>
      <c r="AF33" s="76">
        <v>0</v>
      </c>
      <c r="AG33" s="76">
        <v>0</v>
      </c>
      <c r="AH33" s="76">
        <v>0</v>
      </c>
      <c r="AI33" s="76">
        <v>0</v>
      </c>
      <c r="AJ33" s="76">
        <v>0</v>
      </c>
      <c r="AK33" s="76">
        <v>0</v>
      </c>
      <c r="AL33" s="76">
        <v>0</v>
      </c>
      <c r="AM33" s="76">
        <v>0</v>
      </c>
      <c r="AN33" s="76">
        <v>0</v>
      </c>
      <c r="AO33" s="76">
        <v>0</v>
      </c>
    </row>
    <row r="34" spans="1:103">
      <c r="A34" t="s">
        <v>183</v>
      </c>
      <c r="B34" s="53" t="s">
        <v>181</v>
      </c>
      <c r="C34" s="45" t="s">
        <v>183</v>
      </c>
      <c r="D34" s="107">
        <v>6.3</v>
      </c>
      <c r="E34" s="107">
        <v>3.2</v>
      </c>
      <c r="F34" s="107">
        <v>0</v>
      </c>
      <c r="G34" s="107">
        <v>0</v>
      </c>
      <c r="H34" s="107">
        <v>0</v>
      </c>
      <c r="I34" s="107">
        <v>0</v>
      </c>
      <c r="J34" s="107">
        <v>0</v>
      </c>
      <c r="K34" s="107">
        <v>0</v>
      </c>
      <c r="L34" s="86">
        <v>0</v>
      </c>
      <c r="M34" s="86">
        <v>0</v>
      </c>
      <c r="N34" s="86">
        <v>0</v>
      </c>
      <c r="O34" s="86">
        <v>0</v>
      </c>
      <c r="P34" s="79">
        <v>0</v>
      </c>
      <c r="Q34" s="79">
        <v>0</v>
      </c>
      <c r="R34" s="79">
        <v>0</v>
      </c>
      <c r="S34" s="79">
        <v>0</v>
      </c>
      <c r="T34" s="79">
        <v>0</v>
      </c>
      <c r="U34" s="79">
        <v>0</v>
      </c>
      <c r="V34" s="79">
        <v>0</v>
      </c>
      <c r="W34" s="79">
        <v>25.79945055</v>
      </c>
      <c r="X34" s="79">
        <v>19.445533649999998</v>
      </c>
      <c r="Y34" s="79">
        <v>13.033377210000001</v>
      </c>
      <c r="Z34" s="79">
        <v>6.5466326700000002</v>
      </c>
      <c r="AA34" s="79">
        <v>0</v>
      </c>
      <c r="AB34" s="79">
        <v>0</v>
      </c>
      <c r="AC34" s="79">
        <v>0</v>
      </c>
      <c r="AD34" s="79">
        <v>0</v>
      </c>
      <c r="AE34" s="79">
        <v>0</v>
      </c>
      <c r="AF34" s="79">
        <v>0</v>
      </c>
      <c r="AG34" s="79">
        <v>0</v>
      </c>
      <c r="AH34" s="79">
        <v>0</v>
      </c>
      <c r="AI34" s="79">
        <v>0</v>
      </c>
      <c r="AJ34" s="79">
        <f>Central_Government_Debt_M!BU34</f>
        <v>0</v>
      </c>
      <c r="AK34" s="79">
        <f>Central_Government_Debt_M!BX34</f>
        <v>0</v>
      </c>
      <c r="AL34" s="79">
        <f>Central_Government_Debt_M!BY34</f>
        <v>0</v>
      </c>
      <c r="AM34" s="79">
        <f>Central_Government_Debt_M!BZ34</f>
        <v>0</v>
      </c>
      <c r="AN34" s="79">
        <f>Central_Government_Debt_M!CG34</f>
        <v>0</v>
      </c>
      <c r="AO34" s="79">
        <f>Central_Government_Debt_M!CH34</f>
        <v>0</v>
      </c>
    </row>
    <row r="35" spans="1:103" s="20" customFormat="1">
      <c r="A35" s="20" t="s">
        <v>155</v>
      </c>
      <c r="B35" s="38" t="s">
        <v>75</v>
      </c>
      <c r="C35" s="39" t="s">
        <v>155</v>
      </c>
      <c r="D35" s="204">
        <v>1040.5</v>
      </c>
      <c r="E35" s="204">
        <v>1081.5</v>
      </c>
      <c r="F35" s="204">
        <v>1385.3</v>
      </c>
      <c r="G35" s="204">
        <v>1262.5999999999999</v>
      </c>
      <c r="H35" s="204">
        <v>1328.3</v>
      </c>
      <c r="I35" s="204">
        <v>1323.6</v>
      </c>
      <c r="J35" s="204">
        <v>1319.3</v>
      </c>
      <c r="K35" s="204">
        <v>1370.9</v>
      </c>
      <c r="L35" s="204">
        <v>1404.9</v>
      </c>
      <c r="M35" s="204">
        <v>1386.9</v>
      </c>
      <c r="N35" s="204">
        <v>1406.5</v>
      </c>
      <c r="O35" s="204">
        <v>1457.5</v>
      </c>
      <c r="P35" s="204">
        <v>1457.1799999999998</v>
      </c>
      <c r="Q35" s="204">
        <v>1447</v>
      </c>
      <c r="R35" s="204">
        <v>1448.17</v>
      </c>
      <c r="S35" s="204">
        <v>1456.7534999999998</v>
      </c>
      <c r="T35" s="204">
        <v>1446.01</v>
      </c>
      <c r="U35" s="204">
        <v>1468.0532091700002</v>
      </c>
      <c r="V35" s="204">
        <v>1748.4017791700001</v>
      </c>
      <c r="W35" s="204">
        <v>1709.5486475299997</v>
      </c>
      <c r="X35" s="204">
        <v>1847.13619505</v>
      </c>
      <c r="Y35" s="204">
        <v>1780.2887170199999</v>
      </c>
      <c r="Z35" s="204">
        <v>2006.8421815399997</v>
      </c>
      <c r="AA35" s="204">
        <v>2422.4785184699999</v>
      </c>
      <c r="AB35" s="204">
        <v>2414.7233171499997</v>
      </c>
      <c r="AC35" s="204">
        <v>2564.3972470899994</v>
      </c>
      <c r="AD35" s="204">
        <v>2698.8244922000003</v>
      </c>
      <c r="AE35" s="204">
        <v>3364.5835308300002</v>
      </c>
      <c r="AF35" s="204">
        <v>3579.0094175899999</v>
      </c>
      <c r="AG35" s="204">
        <f t="shared" ref="AG35" si="7">SUM(AG36:AG37)</f>
        <v>3461.5749307899996</v>
      </c>
      <c r="AH35" s="204">
        <f>SUM(AH36:AH37)</f>
        <v>3542.3952637800003</v>
      </c>
      <c r="AI35" s="204">
        <f>SUM(AI36:AI37)</f>
        <v>3577.0256380299998</v>
      </c>
      <c r="AJ35" s="204">
        <f>SUM(AJ36:AJ37)</f>
        <v>3612.5387847399993</v>
      </c>
      <c r="AK35" s="204">
        <f>SUM(AK36:AK37)</f>
        <v>3527.4746205600004</v>
      </c>
      <c r="AL35" s="204">
        <f t="shared" ref="AL35:AM35" si="8">SUM(AL36:AL37)</f>
        <v>3510.6252069100001</v>
      </c>
      <c r="AM35" s="204">
        <f t="shared" si="8"/>
        <v>3721.3014537900003</v>
      </c>
      <c r="AN35" s="204">
        <f>SUM(AN36:AN37)</f>
        <v>3836.2762222299998</v>
      </c>
      <c r="AO35" s="204">
        <f t="shared" ref="AO35" si="9">SUM(AO36:AO37)</f>
        <v>3919.6161777299999</v>
      </c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</row>
    <row r="36" spans="1:103">
      <c r="A36" t="s">
        <v>156</v>
      </c>
      <c r="B36" s="52" t="s">
        <v>76</v>
      </c>
      <c r="C36" s="45" t="s">
        <v>156</v>
      </c>
      <c r="D36" s="81">
        <v>473.9</v>
      </c>
      <c r="E36" s="81">
        <v>463.7</v>
      </c>
      <c r="F36" s="81">
        <v>535.70000000000005</v>
      </c>
      <c r="G36" s="81">
        <v>415.7</v>
      </c>
      <c r="H36" s="81">
        <v>414.2</v>
      </c>
      <c r="I36" s="81">
        <v>414.86</v>
      </c>
      <c r="J36" s="81">
        <v>420.2</v>
      </c>
      <c r="K36" s="81">
        <v>402.3</v>
      </c>
      <c r="L36" s="81">
        <v>414.9</v>
      </c>
      <c r="M36" s="81">
        <v>401.3</v>
      </c>
      <c r="N36" s="81">
        <v>413.1</v>
      </c>
      <c r="O36" s="81">
        <v>420.3</v>
      </c>
      <c r="P36" s="111">
        <v>430.3</v>
      </c>
      <c r="Q36" s="111">
        <v>421.94</v>
      </c>
      <c r="R36" s="111">
        <v>429.64499999999998</v>
      </c>
      <c r="S36" s="111">
        <v>432.99</v>
      </c>
      <c r="T36" s="111">
        <v>436.11</v>
      </c>
      <c r="U36" s="111">
        <v>438.02014893</v>
      </c>
      <c r="V36" s="111">
        <v>446.62795891000002</v>
      </c>
      <c r="W36" s="111">
        <v>424.26813745999999</v>
      </c>
      <c r="X36" s="111">
        <v>0</v>
      </c>
      <c r="Y36" s="111">
        <v>0</v>
      </c>
      <c r="Z36" s="111">
        <v>0</v>
      </c>
      <c r="AA36" s="111">
        <v>0</v>
      </c>
      <c r="AB36" s="111">
        <v>0</v>
      </c>
      <c r="AC36" s="111">
        <v>0</v>
      </c>
      <c r="AD36" s="111">
        <v>0</v>
      </c>
      <c r="AE36" s="111">
        <v>0</v>
      </c>
      <c r="AF36" s="111">
        <v>0</v>
      </c>
      <c r="AG36" s="111">
        <v>0</v>
      </c>
      <c r="AH36" s="111">
        <v>0</v>
      </c>
      <c r="AI36" s="111">
        <v>0</v>
      </c>
      <c r="AJ36" s="111">
        <v>0</v>
      </c>
      <c r="AK36" s="111">
        <v>0</v>
      </c>
      <c r="AL36" s="111">
        <v>0</v>
      </c>
      <c r="AM36" s="111">
        <v>0</v>
      </c>
      <c r="AN36" s="111">
        <v>0</v>
      </c>
      <c r="AO36" s="111">
        <v>0</v>
      </c>
    </row>
    <row r="37" spans="1:103">
      <c r="A37" t="s">
        <v>157</v>
      </c>
      <c r="B37" s="52" t="s">
        <v>77</v>
      </c>
      <c r="C37" s="45" t="s">
        <v>157</v>
      </c>
      <c r="D37" s="81">
        <v>566.6</v>
      </c>
      <c r="E37" s="81">
        <v>617.79999999999995</v>
      </c>
      <c r="F37" s="81">
        <v>849.6</v>
      </c>
      <c r="G37" s="81">
        <v>846.9</v>
      </c>
      <c r="H37" s="81">
        <v>914.1</v>
      </c>
      <c r="I37" s="81">
        <v>908.7</v>
      </c>
      <c r="J37" s="81">
        <v>899.2</v>
      </c>
      <c r="K37" s="81">
        <v>968.6</v>
      </c>
      <c r="L37" s="81">
        <v>989.9</v>
      </c>
      <c r="M37" s="81">
        <v>985.6</v>
      </c>
      <c r="N37" s="81">
        <v>993.5</v>
      </c>
      <c r="O37" s="81">
        <v>1037.2</v>
      </c>
      <c r="P37" s="111">
        <v>1026.8799999999999</v>
      </c>
      <c r="Q37" s="111">
        <v>1025.0600000000002</v>
      </c>
      <c r="R37" s="111">
        <v>1018.525</v>
      </c>
      <c r="S37" s="111">
        <v>1023.7634999999999</v>
      </c>
      <c r="T37" s="111">
        <v>1009.9</v>
      </c>
      <c r="U37" s="111">
        <v>1030.0330602400002</v>
      </c>
      <c r="V37" s="111">
        <v>1301.7738202600001</v>
      </c>
      <c r="W37" s="111">
        <v>1285.2805100699998</v>
      </c>
      <c r="X37" s="111">
        <v>1847.13619505</v>
      </c>
      <c r="Y37" s="111">
        <v>1780.2887170199999</v>
      </c>
      <c r="Z37" s="111">
        <v>2006.8421815399997</v>
      </c>
      <c r="AA37" s="111">
        <v>2422.4785184699999</v>
      </c>
      <c r="AB37" s="111">
        <v>2414.7233171499997</v>
      </c>
      <c r="AC37" s="111">
        <v>2564.3972470899994</v>
      </c>
      <c r="AD37" s="111">
        <v>2698.8244921999999</v>
      </c>
      <c r="AE37" s="111">
        <v>3364.5835308300002</v>
      </c>
      <c r="AF37" s="111">
        <v>3579.0094175899999</v>
      </c>
      <c r="AG37" s="111">
        <f>SUM(AG38:AG48)</f>
        <v>3461.5749307899996</v>
      </c>
      <c r="AH37" s="111">
        <f t="shared" ref="AH37:AI37" si="10">SUM(AH38:AH48)</f>
        <v>3542.3952637800003</v>
      </c>
      <c r="AI37" s="111">
        <f t="shared" si="10"/>
        <v>3577.0256380299998</v>
      </c>
      <c r="AJ37" s="111">
        <f>SUM(AJ38:AJ48)</f>
        <v>3612.5387847399993</v>
      </c>
      <c r="AK37" s="111">
        <f>SUM(AK38:AK48)</f>
        <v>3527.4746205600004</v>
      </c>
      <c r="AL37" s="111">
        <f t="shared" ref="AL37:AM37" si="11">SUM(AL38:AL48)</f>
        <v>3510.6252069100001</v>
      </c>
      <c r="AM37" s="111">
        <f t="shared" si="11"/>
        <v>3721.3014537900003</v>
      </c>
      <c r="AN37" s="111">
        <f t="shared" ref="AN37:AO37" si="12">SUM(AN38:AN48)</f>
        <v>3836.2762222299998</v>
      </c>
      <c r="AO37" s="111">
        <f t="shared" si="12"/>
        <v>3919.6161777299999</v>
      </c>
    </row>
    <row r="38" spans="1:103">
      <c r="A38" s="1" t="s">
        <v>158</v>
      </c>
      <c r="B38" s="31" t="s">
        <v>184</v>
      </c>
      <c r="C38" s="45" t="s">
        <v>158</v>
      </c>
      <c r="D38" s="107">
        <v>238.5</v>
      </c>
      <c r="E38" s="107">
        <v>246.96</v>
      </c>
      <c r="F38" s="107">
        <v>280.70999999999998</v>
      </c>
      <c r="G38" s="107">
        <v>261.10000000000002</v>
      </c>
      <c r="H38" s="107">
        <v>254.3</v>
      </c>
      <c r="I38" s="107">
        <v>254.4</v>
      </c>
      <c r="J38" s="107">
        <v>252.7</v>
      </c>
      <c r="K38" s="107">
        <v>344.3</v>
      </c>
      <c r="L38" s="107">
        <v>350.3</v>
      </c>
      <c r="M38" s="107">
        <v>341.5</v>
      </c>
      <c r="N38" s="107">
        <v>345.9</v>
      </c>
      <c r="O38" s="107">
        <v>383.6</v>
      </c>
      <c r="P38" s="86">
        <v>385.43</v>
      </c>
      <c r="Q38" s="86">
        <v>378.03</v>
      </c>
      <c r="R38" s="86">
        <v>380.35</v>
      </c>
      <c r="S38" s="86">
        <v>389.2885</v>
      </c>
      <c r="T38" s="86">
        <v>397.18</v>
      </c>
      <c r="U38" s="86">
        <v>406.82390513000007</v>
      </c>
      <c r="V38" s="86">
        <v>552.21045189999995</v>
      </c>
      <c r="W38" s="86">
        <v>525.42088840000008</v>
      </c>
      <c r="X38" s="86">
        <v>951.61817890999998</v>
      </c>
      <c r="Y38" s="86">
        <v>909.14324795000005</v>
      </c>
      <c r="Z38" s="86">
        <v>899.34646943999996</v>
      </c>
      <c r="AA38" s="86">
        <v>932.38648256999988</v>
      </c>
      <c r="AB38" s="86">
        <v>920.98473217999992</v>
      </c>
      <c r="AC38" s="86">
        <v>982.91311889999997</v>
      </c>
      <c r="AD38" s="86">
        <v>993.00777316999995</v>
      </c>
      <c r="AE38" s="86">
        <v>1349.3677491199999</v>
      </c>
      <c r="AF38" s="86">
        <v>1433.99696017</v>
      </c>
      <c r="AG38" s="86">
        <v>1359.6093297499999</v>
      </c>
      <c r="AH38" s="86">
        <v>1417.3618288999999</v>
      </c>
      <c r="AI38" s="86">
        <f>Central_Government_Debt_M!BR39</f>
        <v>1419.1184587600001</v>
      </c>
      <c r="AJ38" s="86">
        <f>Central_Government_Debt_M!BU39</f>
        <v>1439.3444339499997</v>
      </c>
      <c r="AK38" s="86">
        <v>1400.46352391</v>
      </c>
      <c r="AL38" s="86">
        <f>Central_Government_Debt_M!CA39</f>
        <v>1393.4399154599998</v>
      </c>
      <c r="AM38" s="86">
        <f>Central_Government_Debt_M!CD39</f>
        <v>1388.3142872400003</v>
      </c>
      <c r="AN38" s="86">
        <f>Central_Government_Debt_M!CG39</f>
        <v>1520.7199334000002</v>
      </c>
      <c r="AO38" s="86">
        <f>Central_Government_Debt_M!CK39</f>
        <v>1542.8357813200003</v>
      </c>
    </row>
    <row r="39" spans="1:103" s="46" customFormat="1">
      <c r="A39" s="126" t="s">
        <v>241</v>
      </c>
      <c r="B39" s="145" t="s">
        <v>239</v>
      </c>
      <c r="C39" s="45" t="s">
        <v>241</v>
      </c>
      <c r="D39" s="86">
        <v>0</v>
      </c>
      <c r="E39" s="86">
        <v>0</v>
      </c>
      <c r="F39" s="86">
        <v>0</v>
      </c>
      <c r="G39" s="86">
        <v>0</v>
      </c>
      <c r="H39" s="86">
        <v>0</v>
      </c>
      <c r="I39" s="86">
        <v>0</v>
      </c>
      <c r="J39" s="86">
        <v>0</v>
      </c>
      <c r="K39" s="86">
        <v>0</v>
      </c>
      <c r="L39" s="84">
        <v>0</v>
      </c>
      <c r="M39" s="86">
        <v>0</v>
      </c>
      <c r="N39" s="86">
        <v>0</v>
      </c>
      <c r="O39" s="108">
        <v>0</v>
      </c>
      <c r="P39" s="84">
        <v>0</v>
      </c>
      <c r="Q39" s="86">
        <v>0</v>
      </c>
      <c r="R39" s="86">
        <v>0</v>
      </c>
      <c r="S39" s="86">
        <v>0</v>
      </c>
      <c r="T39" s="86">
        <v>0</v>
      </c>
      <c r="U39" s="86">
        <v>0</v>
      </c>
      <c r="V39" s="86">
        <v>0</v>
      </c>
      <c r="W39" s="86">
        <v>0</v>
      </c>
      <c r="X39" s="86">
        <v>107.08931249</v>
      </c>
      <c r="Y39" s="86">
        <v>102.06164523000001</v>
      </c>
      <c r="Z39" s="86">
        <v>101.77081213</v>
      </c>
      <c r="AA39" s="86">
        <v>104.21008754</v>
      </c>
      <c r="AB39" s="86">
        <v>103.19917441</v>
      </c>
      <c r="AC39" s="86">
        <v>108.22510823</v>
      </c>
      <c r="AD39" s="86">
        <v>108.76658689999999</v>
      </c>
      <c r="AE39" s="86">
        <v>110.27790031000001</v>
      </c>
      <c r="AF39" s="86">
        <v>231.64234422000001</v>
      </c>
      <c r="AG39" s="86">
        <v>217.81746896000001</v>
      </c>
      <c r="AH39" s="86">
        <v>224.56770716</v>
      </c>
      <c r="AI39" s="86">
        <f>Central_Government_Debt_M!BR40</f>
        <v>224.51728783999999</v>
      </c>
      <c r="AJ39" s="86">
        <f>Central_Government_Debt_M!BU40</f>
        <v>231.00023100000001</v>
      </c>
      <c r="AK39" s="86">
        <v>219.94578720999999</v>
      </c>
      <c r="AL39" s="86">
        <f>Central_Government_Debt_M!CA40</f>
        <v>222.10310218999999</v>
      </c>
      <c r="AM39" s="86">
        <f>Central_Government_Debt_M!CD40</f>
        <v>216.74673987</v>
      </c>
      <c r="AN39" s="86">
        <f>Central_Government_Debt_M!CG40</f>
        <v>215.80865604000002</v>
      </c>
      <c r="AO39" s="86">
        <f>Central_Government_Debt_M!CK40</f>
        <v>215.86594797000001</v>
      </c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</row>
    <row r="40" spans="1:103">
      <c r="A40" s="1" t="s">
        <v>159</v>
      </c>
      <c r="B40" s="31" t="s">
        <v>185</v>
      </c>
      <c r="C40" s="45" t="s">
        <v>159</v>
      </c>
      <c r="D40" s="107">
        <v>266.3</v>
      </c>
      <c r="E40" s="107">
        <v>327.67</v>
      </c>
      <c r="F40" s="107">
        <v>516.19000000000005</v>
      </c>
      <c r="G40" s="107">
        <v>545.4</v>
      </c>
      <c r="H40" s="107">
        <v>522.5</v>
      </c>
      <c r="I40" s="107">
        <v>517.70000000000005</v>
      </c>
      <c r="J40" s="107">
        <v>511.7</v>
      </c>
      <c r="K40" s="107">
        <v>501.3</v>
      </c>
      <c r="L40" s="107">
        <v>514.29999999999995</v>
      </c>
      <c r="M40" s="107">
        <v>522.20000000000005</v>
      </c>
      <c r="N40" s="107">
        <v>517.5</v>
      </c>
      <c r="O40" s="107">
        <v>489.3</v>
      </c>
      <c r="P40" s="86">
        <v>471.84</v>
      </c>
      <c r="Q40" s="86">
        <v>479.95</v>
      </c>
      <c r="R40" s="86">
        <v>468.67899999999997</v>
      </c>
      <c r="S40" s="86">
        <v>461.97800000000001</v>
      </c>
      <c r="T40" s="86">
        <v>435.83</v>
      </c>
      <c r="U40" s="86">
        <v>445.22376871000006</v>
      </c>
      <c r="V40" s="86">
        <v>426.39491268</v>
      </c>
      <c r="W40" s="86">
        <v>408.98498087000002</v>
      </c>
      <c r="X40" s="86">
        <v>435.39748971000006</v>
      </c>
      <c r="Y40" s="86">
        <v>432.02146082999997</v>
      </c>
      <c r="Z40" s="86">
        <v>433.37736438999997</v>
      </c>
      <c r="AA40" s="86">
        <v>444.84903586999997</v>
      </c>
      <c r="AB40" s="86">
        <v>444.97831486000001</v>
      </c>
      <c r="AC40" s="86">
        <v>473.20731472999995</v>
      </c>
      <c r="AD40" s="86">
        <v>433.23346778000001</v>
      </c>
      <c r="AE40" s="86">
        <v>431.36412879</v>
      </c>
      <c r="AF40" s="86">
        <v>396.48013776999994</v>
      </c>
      <c r="AG40" s="86">
        <v>400.6001430799999</v>
      </c>
      <c r="AH40" s="86">
        <v>374.85409613999997</v>
      </c>
      <c r="AI40" s="86">
        <f>Central_Government_Debt_M!BR41</f>
        <v>362.95265810999996</v>
      </c>
      <c r="AJ40" s="86">
        <f>Central_Government_Debt_M!BU41</f>
        <v>338.01662512000007</v>
      </c>
      <c r="AK40" s="86">
        <v>336.77207890999995</v>
      </c>
      <c r="AL40" s="86">
        <f>Central_Government_Debt_M!CA41</f>
        <v>310.53148331</v>
      </c>
      <c r="AM40" s="86">
        <f>Central_Government_Debt_M!CD41</f>
        <v>310.63925573000006</v>
      </c>
      <c r="AN40" s="86">
        <f>Central_Government_Debt_M!CG41</f>
        <v>287.79383644000001</v>
      </c>
      <c r="AO40" s="86">
        <f>Central_Government_Debt_M!CK41</f>
        <v>289.14528541999999</v>
      </c>
    </row>
    <row r="41" spans="1:103">
      <c r="A41" s="1" t="s">
        <v>160</v>
      </c>
      <c r="B41" s="31" t="s">
        <v>186</v>
      </c>
      <c r="C41" s="45" t="s">
        <v>160</v>
      </c>
      <c r="D41" s="107">
        <v>0</v>
      </c>
      <c r="E41" s="107">
        <v>0</v>
      </c>
      <c r="F41" s="107">
        <v>14.01</v>
      </c>
      <c r="G41" s="107">
        <v>12.5</v>
      </c>
      <c r="H41" s="107">
        <v>12.2</v>
      </c>
      <c r="I41" s="107">
        <v>12.1</v>
      </c>
      <c r="J41" s="107">
        <v>12.2</v>
      </c>
      <c r="K41" s="107">
        <v>0</v>
      </c>
      <c r="L41" s="107">
        <v>0</v>
      </c>
      <c r="M41" s="107">
        <v>0</v>
      </c>
      <c r="N41" s="107">
        <v>0</v>
      </c>
      <c r="O41" s="107">
        <v>0</v>
      </c>
      <c r="P41" s="86">
        <v>0</v>
      </c>
      <c r="Q41" s="86">
        <v>0</v>
      </c>
      <c r="R41" s="86">
        <v>0</v>
      </c>
      <c r="S41" s="86">
        <v>0</v>
      </c>
      <c r="T41" s="86">
        <v>0</v>
      </c>
      <c r="U41" s="86">
        <v>0</v>
      </c>
      <c r="V41" s="86">
        <v>0</v>
      </c>
      <c r="W41" s="86">
        <v>0</v>
      </c>
      <c r="X41" s="86">
        <v>0</v>
      </c>
      <c r="Y41" s="86">
        <v>0</v>
      </c>
      <c r="Z41" s="86">
        <v>0</v>
      </c>
      <c r="AA41" s="86">
        <v>0</v>
      </c>
      <c r="AB41" s="86">
        <v>0</v>
      </c>
      <c r="AC41" s="86">
        <v>0</v>
      </c>
      <c r="AD41" s="86">
        <v>0</v>
      </c>
      <c r="AE41" s="86">
        <v>0</v>
      </c>
      <c r="AF41" s="86">
        <v>0</v>
      </c>
      <c r="AG41" s="86">
        <v>0</v>
      </c>
      <c r="AH41" s="86">
        <v>0</v>
      </c>
      <c r="AI41" s="86">
        <f>Central_Government_Debt_M!BR42</f>
        <v>0</v>
      </c>
      <c r="AJ41" s="86">
        <f>Central_Government_Debt_M!BU42</f>
        <v>0</v>
      </c>
      <c r="AK41" s="86">
        <v>0</v>
      </c>
      <c r="AL41" s="86">
        <f>Central_Government_Debt_M!CA42</f>
        <v>0</v>
      </c>
      <c r="AM41" s="86">
        <f>Central_Government_Debt_M!CD42</f>
        <v>0</v>
      </c>
      <c r="AN41" s="86">
        <f>Central_Government_Debt_M!CG42</f>
        <v>0</v>
      </c>
      <c r="AO41" s="86">
        <f>Central_Government_Debt_M!CK42</f>
        <v>0</v>
      </c>
    </row>
    <row r="42" spans="1:103">
      <c r="A42" s="45" t="s">
        <v>191</v>
      </c>
      <c r="B42" s="31" t="s">
        <v>187</v>
      </c>
      <c r="C42" s="45" t="s">
        <v>191</v>
      </c>
      <c r="D42" s="86">
        <v>38.4</v>
      </c>
      <c r="E42" s="86">
        <v>23.65</v>
      </c>
      <c r="F42" s="86">
        <v>21.96</v>
      </c>
      <c r="G42" s="86">
        <v>10.9</v>
      </c>
      <c r="H42" s="86">
        <v>5.7</v>
      </c>
      <c r="I42" s="86">
        <v>5.7</v>
      </c>
      <c r="J42" s="86">
        <v>0</v>
      </c>
      <c r="K42" s="86">
        <v>0</v>
      </c>
      <c r="L42" s="86">
        <v>0</v>
      </c>
      <c r="M42" s="86">
        <v>0</v>
      </c>
      <c r="N42" s="86">
        <v>0</v>
      </c>
      <c r="O42" s="86">
        <v>0</v>
      </c>
      <c r="P42" s="86">
        <v>0</v>
      </c>
      <c r="Q42" s="86">
        <v>0</v>
      </c>
      <c r="R42" s="86">
        <v>0</v>
      </c>
      <c r="S42" s="86">
        <v>0</v>
      </c>
      <c r="T42" s="86">
        <v>0</v>
      </c>
      <c r="U42" s="86">
        <v>0</v>
      </c>
      <c r="V42" s="86">
        <v>0</v>
      </c>
      <c r="W42" s="86">
        <v>0</v>
      </c>
      <c r="X42" s="86">
        <v>0</v>
      </c>
      <c r="Y42" s="86">
        <v>0</v>
      </c>
      <c r="Z42" s="86">
        <v>0</v>
      </c>
      <c r="AA42" s="86">
        <v>0</v>
      </c>
      <c r="AB42" s="86">
        <v>0</v>
      </c>
      <c r="AC42" s="86">
        <v>0</v>
      </c>
      <c r="AD42" s="86">
        <v>0</v>
      </c>
      <c r="AE42" s="86">
        <v>0</v>
      </c>
      <c r="AF42" s="86">
        <v>0</v>
      </c>
      <c r="AG42" s="86">
        <v>0</v>
      </c>
      <c r="AH42" s="86">
        <v>0</v>
      </c>
      <c r="AI42" s="86">
        <f>Central_Government_Debt_M!BR43</f>
        <v>0</v>
      </c>
      <c r="AJ42" s="86">
        <f>Central_Government_Debt_M!BU43</f>
        <v>0</v>
      </c>
      <c r="AK42" s="86">
        <v>0</v>
      </c>
      <c r="AL42" s="86">
        <f>Central_Government_Debt_M!CA43</f>
        <v>0</v>
      </c>
      <c r="AM42" s="86">
        <f>Central_Government_Debt_M!CD43</f>
        <v>0</v>
      </c>
      <c r="AN42" s="86">
        <f>Central_Government_Debt_M!CG43</f>
        <v>0</v>
      </c>
      <c r="AO42" s="86">
        <f>Central_Government_Debt_M!CK43</f>
        <v>0</v>
      </c>
    </row>
    <row r="43" spans="1:103">
      <c r="A43" s="1" t="s">
        <v>161</v>
      </c>
      <c r="B43" s="31" t="s">
        <v>188</v>
      </c>
      <c r="C43" s="45" t="s">
        <v>161</v>
      </c>
      <c r="D43" s="86">
        <v>23.5</v>
      </c>
      <c r="E43" s="86">
        <v>19.55</v>
      </c>
      <c r="F43" s="86">
        <v>16.760000000000002</v>
      </c>
      <c r="G43" s="86">
        <v>16.8</v>
      </c>
      <c r="H43" s="86">
        <v>15.5</v>
      </c>
      <c r="I43" s="86">
        <v>14.4</v>
      </c>
      <c r="J43" s="86">
        <v>13.8</v>
      </c>
      <c r="K43" s="86">
        <v>13.2</v>
      </c>
      <c r="L43" s="86">
        <v>12.2</v>
      </c>
      <c r="M43" s="86">
        <v>12.3</v>
      </c>
      <c r="N43" s="86">
        <v>11.5</v>
      </c>
      <c r="O43" s="86">
        <v>11.5</v>
      </c>
      <c r="P43" s="86">
        <v>10.4</v>
      </c>
      <c r="Q43" s="86">
        <v>10.58</v>
      </c>
      <c r="R43" s="86">
        <v>9.3420000000000005</v>
      </c>
      <c r="S43" s="86">
        <v>9.6769999999999996</v>
      </c>
      <c r="T43" s="86">
        <v>8.51</v>
      </c>
      <c r="U43" s="86">
        <v>8.5491499999999991</v>
      </c>
      <c r="V43" s="86">
        <v>7.6287000000000003</v>
      </c>
      <c r="W43" s="86">
        <v>50.925539999999998</v>
      </c>
      <c r="X43" s="86">
        <v>50.225070000000002</v>
      </c>
      <c r="Y43" s="86">
        <v>48.041809999999998</v>
      </c>
      <c r="Z43" s="86">
        <v>284.85883000000001</v>
      </c>
      <c r="AA43" s="86">
        <v>290.28368</v>
      </c>
      <c r="AB43" s="86">
        <v>276.94033000000002</v>
      </c>
      <c r="AC43" s="86">
        <v>286.24968999999999</v>
      </c>
      <c r="AD43" s="86">
        <v>418.79424</v>
      </c>
      <c r="AE43" s="86">
        <v>413.70292000000001</v>
      </c>
      <c r="AF43" s="86">
        <v>393.73674</v>
      </c>
      <c r="AG43" s="86">
        <v>419.43808000000001</v>
      </c>
      <c r="AH43" s="86">
        <v>420.24885999999998</v>
      </c>
      <c r="AI43" s="86">
        <f>Central_Government_Debt_M!BR44</f>
        <v>398.49572000000001</v>
      </c>
      <c r="AJ43" s="86">
        <f>Central_Government_Debt_M!BU44</f>
        <v>388.13929638999997</v>
      </c>
      <c r="AK43" s="86">
        <v>383.28078960000005</v>
      </c>
      <c r="AL43" s="86">
        <f>Central_Government_Debt_M!CA44</f>
        <v>365.99557751999998</v>
      </c>
      <c r="AM43" s="86">
        <f>Central_Government_Debt_M!CD44</f>
        <v>374.66800888</v>
      </c>
      <c r="AN43" s="86">
        <f>Central_Government_Debt_M!CG44</f>
        <v>371.91309705000003</v>
      </c>
      <c r="AO43" s="86">
        <f>Central_Government_Debt_M!CK44</f>
        <v>391.84898810000004</v>
      </c>
    </row>
    <row r="44" spans="1:103">
      <c r="A44" s="1" t="s">
        <v>162</v>
      </c>
      <c r="B44" s="31" t="s">
        <v>189</v>
      </c>
      <c r="C44" s="45" t="s">
        <v>162</v>
      </c>
      <c r="D44" s="86">
        <v>0</v>
      </c>
      <c r="E44" s="86">
        <v>0</v>
      </c>
      <c r="F44" s="86">
        <v>0</v>
      </c>
      <c r="G44" s="86">
        <v>0.3</v>
      </c>
      <c r="H44" s="86">
        <v>103.8</v>
      </c>
      <c r="I44" s="86">
        <v>104.1</v>
      </c>
      <c r="J44" s="86">
        <v>106.7</v>
      </c>
      <c r="K44" s="86">
        <v>107.6</v>
      </c>
      <c r="L44" s="86">
        <v>110.9</v>
      </c>
      <c r="M44" s="86">
        <v>107.5</v>
      </c>
      <c r="N44" s="86">
        <v>116.3</v>
      </c>
      <c r="O44" s="86">
        <v>150.6</v>
      </c>
      <c r="P44" s="86">
        <v>157.01</v>
      </c>
      <c r="Q44" s="86">
        <v>154.22</v>
      </c>
      <c r="R44" s="86">
        <v>157.89500000000001</v>
      </c>
      <c r="S44" s="86">
        <v>160.28</v>
      </c>
      <c r="T44" s="86">
        <v>165.83</v>
      </c>
      <c r="U44" s="86">
        <v>166.89809331000001</v>
      </c>
      <c r="V44" s="86">
        <v>184.06929940000001</v>
      </c>
      <c r="W44" s="86">
        <v>175.16954360999998</v>
      </c>
      <c r="X44" s="86">
        <v>176.85783436</v>
      </c>
      <c r="Y44" s="86">
        <v>169.02413116</v>
      </c>
      <c r="Z44" s="86">
        <v>169.08824861999997</v>
      </c>
      <c r="AA44" s="86">
        <v>227.60691279000002</v>
      </c>
      <c r="AB44" s="86">
        <v>227.79016674000002</v>
      </c>
      <c r="AC44" s="86">
        <v>250.51306993</v>
      </c>
      <c r="AD44" s="86">
        <v>260.90789288000002</v>
      </c>
      <c r="AE44" s="86">
        <v>378.24835608000006</v>
      </c>
      <c r="AF44" s="86">
        <v>406.55109299000003</v>
      </c>
      <c r="AG44" s="86">
        <v>388.84740398000002</v>
      </c>
      <c r="AH44" s="86">
        <v>407.62089566999998</v>
      </c>
      <c r="AI44" s="86">
        <f>Central_Government_Debt_M!BR45</f>
        <v>408.05507463000004</v>
      </c>
      <c r="AJ44" s="86">
        <f>Central_Government_Debt_M!BU45</f>
        <v>426.45581284000002</v>
      </c>
      <c r="AK44" s="86">
        <v>411.64679315000001</v>
      </c>
      <c r="AL44" s="86">
        <f>Central_Government_Debt_M!CA45</f>
        <v>418.07906915999996</v>
      </c>
      <c r="AM44" s="86">
        <f>Central_Government_Debt_M!CD45</f>
        <v>413.46663291999994</v>
      </c>
      <c r="AN44" s="86">
        <f>Central_Government_Debt_M!CG45</f>
        <v>415.31395114999998</v>
      </c>
      <c r="AO44" s="86">
        <f>Central_Government_Debt_M!CK45</f>
        <v>428.38822295999995</v>
      </c>
    </row>
    <row r="45" spans="1:103" s="46" customFormat="1">
      <c r="A45" s="1" t="s">
        <v>242</v>
      </c>
      <c r="B45" s="145" t="s">
        <v>238</v>
      </c>
      <c r="C45" s="45" t="s">
        <v>242</v>
      </c>
      <c r="D45" s="86">
        <v>0</v>
      </c>
      <c r="E45" s="86"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4">
        <v>0</v>
      </c>
      <c r="M45" s="86">
        <v>0</v>
      </c>
      <c r="N45" s="86">
        <v>0</v>
      </c>
      <c r="O45" s="108">
        <v>0</v>
      </c>
      <c r="P45" s="84">
        <v>0</v>
      </c>
      <c r="Q45" s="86">
        <v>0</v>
      </c>
      <c r="R45" s="86">
        <v>0</v>
      </c>
      <c r="S45" s="86">
        <v>0</v>
      </c>
      <c r="T45" s="86">
        <v>0</v>
      </c>
      <c r="U45" s="86">
        <v>0</v>
      </c>
      <c r="V45" s="86">
        <v>128.91936662999998</v>
      </c>
      <c r="W45" s="86">
        <v>122.46519384999999</v>
      </c>
      <c r="X45" s="86">
        <v>123.64551805000001</v>
      </c>
      <c r="Y45" s="86">
        <v>118.0356652</v>
      </c>
      <c r="Z45" s="86">
        <v>117.6993128</v>
      </c>
      <c r="AA45" s="86">
        <v>422.47006014999999</v>
      </c>
      <c r="AB45" s="86">
        <v>440.83059895999997</v>
      </c>
      <c r="AC45" s="86">
        <v>463.28894529999997</v>
      </c>
      <c r="AD45" s="86">
        <v>465.75112289999998</v>
      </c>
      <c r="AE45" s="86">
        <v>663.00390811</v>
      </c>
      <c r="AF45" s="86">
        <v>697.04768582999998</v>
      </c>
      <c r="AG45" s="86">
        <v>656.87509722000004</v>
      </c>
      <c r="AH45" s="86">
        <v>678.78463603</v>
      </c>
      <c r="AI45" s="86">
        <f>Central_Government_Debt_M!BR46</f>
        <v>680.6043333099999</v>
      </c>
      <c r="AJ45" s="86">
        <f>Central_Government_Debt_M!BU46</f>
        <v>703.89550685000006</v>
      </c>
      <c r="AK45" s="86">
        <v>690.02379171000007</v>
      </c>
      <c r="AL45" s="86">
        <f>Central_Government_Debt_M!CA46</f>
        <v>700.82085927000003</v>
      </c>
      <c r="AM45" s="86">
        <f>Central_Government_Debt_M!CD46</f>
        <v>900.78165163999995</v>
      </c>
      <c r="AN45" s="86">
        <f>Central_Government_Debt_M!CG46</f>
        <v>900.76476192999985</v>
      </c>
      <c r="AO45" s="86">
        <f>Central_Government_Debt_M!CK46</f>
        <v>925.17680527999994</v>
      </c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</row>
    <row r="46" spans="1:103">
      <c r="A46" s="1" t="s">
        <v>163</v>
      </c>
      <c r="B46" s="1" t="s">
        <v>190</v>
      </c>
      <c r="C46" s="45" t="s">
        <v>163</v>
      </c>
      <c r="D46" s="86">
        <v>0</v>
      </c>
      <c r="E46" s="86">
        <v>0</v>
      </c>
      <c r="F46" s="86">
        <v>0</v>
      </c>
      <c r="G46" s="86">
        <v>0</v>
      </c>
      <c r="H46" s="86">
        <v>0</v>
      </c>
      <c r="I46" s="86">
        <v>0.2</v>
      </c>
      <c r="J46" s="86">
        <v>2.1</v>
      </c>
      <c r="K46" s="86">
        <v>2.1</v>
      </c>
      <c r="L46" s="86">
        <v>2.2000000000000002</v>
      </c>
      <c r="M46" s="86">
        <v>2.2000000000000002</v>
      </c>
      <c r="N46" s="86">
        <v>2.2999999999999998</v>
      </c>
      <c r="O46" s="86">
        <v>2.2000000000000002</v>
      </c>
      <c r="P46" s="86">
        <v>2.2000000000000002</v>
      </c>
      <c r="Q46" s="86">
        <v>2.2799999999999998</v>
      </c>
      <c r="R46" s="86">
        <v>2.2589999999999999</v>
      </c>
      <c r="S46" s="86">
        <v>2.54</v>
      </c>
      <c r="T46" s="86">
        <v>2.5499999999999998</v>
      </c>
      <c r="U46" s="86">
        <v>2.5381430899999997</v>
      </c>
      <c r="V46" s="86">
        <v>2.5510896499999998</v>
      </c>
      <c r="W46" s="86">
        <v>2.3143633399999999</v>
      </c>
      <c r="X46" s="86">
        <v>2.3027915299999999</v>
      </c>
      <c r="Y46" s="86">
        <v>1.96075665</v>
      </c>
      <c r="Z46" s="86">
        <v>0.70114416000000002</v>
      </c>
      <c r="AA46" s="86">
        <v>0.67225955000000004</v>
      </c>
      <c r="AB46" s="86">
        <v>0</v>
      </c>
      <c r="AC46" s="86">
        <v>0</v>
      </c>
      <c r="AD46" s="86">
        <v>0</v>
      </c>
      <c r="AE46" s="86">
        <v>0</v>
      </c>
      <c r="AF46" s="86">
        <v>0</v>
      </c>
      <c r="AG46" s="86">
        <v>0</v>
      </c>
      <c r="AH46" s="86">
        <v>0</v>
      </c>
      <c r="AI46" s="86">
        <f>Central_Government_Debt_M!BR47</f>
        <v>0</v>
      </c>
      <c r="AJ46" s="86">
        <f>Central_Government_Debt_M!BU47</f>
        <v>0</v>
      </c>
      <c r="AK46" s="86">
        <v>0</v>
      </c>
      <c r="AL46" s="86">
        <f>Central_Government_Debt_M!CA47</f>
        <v>0</v>
      </c>
      <c r="AM46" s="86">
        <f>Central_Government_Debt_M!CD47</f>
        <v>0</v>
      </c>
      <c r="AN46" s="86">
        <f>Central_Government_Debt_M!CG47</f>
        <v>0</v>
      </c>
      <c r="AO46" s="86">
        <f>Central_Government_Debt_M!CK47</f>
        <v>0</v>
      </c>
    </row>
    <row r="47" spans="1:103" s="46" customFormat="1">
      <c r="A47" s="126" t="s">
        <v>282</v>
      </c>
      <c r="B47" s="126" t="s">
        <v>276</v>
      </c>
      <c r="C47" s="126" t="s">
        <v>282</v>
      </c>
      <c r="D47" s="86">
        <v>0</v>
      </c>
      <c r="E47" s="86"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  <c r="M47" s="86">
        <v>0</v>
      </c>
      <c r="N47" s="86">
        <v>0</v>
      </c>
      <c r="O47" s="86">
        <v>0</v>
      </c>
      <c r="P47" s="86">
        <v>0</v>
      </c>
      <c r="Q47" s="86">
        <v>0</v>
      </c>
      <c r="R47" s="86">
        <v>0</v>
      </c>
      <c r="S47" s="86">
        <v>0</v>
      </c>
      <c r="T47" s="86">
        <v>0</v>
      </c>
      <c r="U47" s="86">
        <v>0</v>
      </c>
      <c r="V47" s="86">
        <v>0</v>
      </c>
      <c r="W47" s="86">
        <v>0</v>
      </c>
      <c r="X47" s="86">
        <v>0</v>
      </c>
      <c r="Y47" s="86">
        <v>0</v>
      </c>
      <c r="Z47" s="86">
        <v>0</v>
      </c>
      <c r="AA47" s="86">
        <v>0</v>
      </c>
      <c r="AB47" s="86">
        <v>0</v>
      </c>
      <c r="AC47" s="86">
        <v>0</v>
      </c>
      <c r="AD47" s="86">
        <v>18.363408570000001</v>
      </c>
      <c r="AE47" s="86">
        <v>18.618568420000003</v>
      </c>
      <c r="AF47" s="86">
        <v>19.554456609999999</v>
      </c>
      <c r="AG47" s="86">
        <v>18.387407800000002</v>
      </c>
      <c r="AH47" s="86">
        <v>18.957239879999999</v>
      </c>
      <c r="AI47" s="86">
        <f>Central_Government_Debt_M!BR48</f>
        <v>18.321217530000002</v>
      </c>
      <c r="AJ47" s="86">
        <f>Central_Government_Debt_M!BU48</f>
        <v>18.850243219999999</v>
      </c>
      <c r="AK47" s="86">
        <v>17.797338289999999</v>
      </c>
      <c r="AL47" s="86">
        <f>Central_Government_Debt_M!CA48</f>
        <v>17.971901600000002</v>
      </c>
      <c r="AM47" s="86">
        <f>Central_Government_Debt_M!CD48</f>
        <v>32.630885290000002</v>
      </c>
      <c r="AN47" s="86">
        <f>Central_Government_Debt_M!CG48</f>
        <v>40.27178121</v>
      </c>
      <c r="AO47" s="86">
        <f>Central_Government_Debt_M!CK48</f>
        <v>40.252498450000004</v>
      </c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</row>
    <row r="48" spans="1:103" s="46" customFormat="1">
      <c r="A48" s="1" t="s">
        <v>292</v>
      </c>
      <c r="B48" s="126" t="s">
        <v>293</v>
      </c>
      <c r="C48" s="45" t="s">
        <v>292</v>
      </c>
      <c r="D48" s="86">
        <v>0</v>
      </c>
      <c r="E48" s="86"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  <c r="M48" s="86">
        <v>0</v>
      </c>
      <c r="N48" s="86">
        <v>0</v>
      </c>
      <c r="O48" s="86">
        <v>0</v>
      </c>
      <c r="P48" s="86">
        <v>0</v>
      </c>
      <c r="Q48" s="86">
        <v>0</v>
      </c>
      <c r="R48" s="86">
        <v>0</v>
      </c>
      <c r="S48" s="86">
        <v>0</v>
      </c>
      <c r="T48" s="86">
        <v>0</v>
      </c>
      <c r="U48" s="86">
        <v>0</v>
      </c>
      <c r="V48" s="86">
        <v>0</v>
      </c>
      <c r="W48" s="86">
        <v>0</v>
      </c>
      <c r="X48" s="86">
        <v>0</v>
      </c>
      <c r="Y48" s="86">
        <v>0</v>
      </c>
      <c r="Z48" s="86">
        <v>0</v>
      </c>
      <c r="AA48" s="86">
        <v>0</v>
      </c>
      <c r="AB48" s="86">
        <v>0</v>
      </c>
      <c r="AC48" s="86">
        <v>0</v>
      </c>
      <c r="AD48" s="86">
        <v>0</v>
      </c>
      <c r="AE48" s="86">
        <v>0</v>
      </c>
      <c r="AF48" s="86">
        <v>0</v>
      </c>
      <c r="AG48" s="86">
        <v>0</v>
      </c>
      <c r="AH48" s="86">
        <v>0</v>
      </c>
      <c r="AI48" s="86">
        <f>Central_Government_Debt_M!BR49</f>
        <v>64.960887850000006</v>
      </c>
      <c r="AJ48" s="86">
        <f>Central_Government_Debt_M!BU49</f>
        <v>66.836635369999996</v>
      </c>
      <c r="AK48" s="86">
        <v>67.544517780000007</v>
      </c>
      <c r="AL48" s="86">
        <f>Central_Government_Debt_M!CA49</f>
        <v>81.683298400000012</v>
      </c>
      <c r="AM48" s="86">
        <f>Central_Government_Debt_M!CD49</f>
        <v>84.053992219999998</v>
      </c>
      <c r="AN48" s="86">
        <f>Central_Government_Debt_M!CG49</f>
        <v>83.69020501</v>
      </c>
      <c r="AO48" s="86">
        <f>Central_Government_Debt_M!CK49</f>
        <v>86.10264823</v>
      </c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</row>
    <row r="49" spans="1:103" s="35" customFormat="1">
      <c r="A49" s="32"/>
      <c r="B49" s="33" t="s">
        <v>79</v>
      </c>
      <c r="C49" s="34"/>
      <c r="S49" s="140"/>
      <c r="T49" s="140"/>
      <c r="U49" s="140"/>
      <c r="V49" s="140"/>
      <c r="W49" s="41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</row>
    <row r="50" spans="1:103" s="46" customFormat="1">
      <c r="A50" s="42" t="s">
        <v>170</v>
      </c>
      <c r="B50" s="44" t="s">
        <v>29</v>
      </c>
      <c r="C50" s="45" t="s">
        <v>170</v>
      </c>
      <c r="D50" s="111">
        <v>495.7</v>
      </c>
      <c r="E50" s="111">
        <v>449.7</v>
      </c>
      <c r="F50" s="111">
        <v>446.6</v>
      </c>
      <c r="G50" s="111">
        <v>989.8</v>
      </c>
      <c r="H50" s="111">
        <v>372.1</v>
      </c>
      <c r="I50" s="111">
        <v>197.4</v>
      </c>
      <c r="J50" s="111">
        <v>312.10000000000002</v>
      </c>
      <c r="K50" s="111">
        <v>422</v>
      </c>
      <c r="L50" s="111">
        <v>121.2</v>
      </c>
      <c r="M50" s="111">
        <v>226.9</v>
      </c>
      <c r="N50" s="111">
        <v>349.5</v>
      </c>
      <c r="O50" s="111">
        <v>179.10000000000002</v>
      </c>
      <c r="P50" s="112">
        <v>177.23008000437849</v>
      </c>
      <c r="Q50" s="112">
        <v>324.10800000000006</v>
      </c>
      <c r="R50" s="112">
        <v>473.00644385999999</v>
      </c>
      <c r="S50" s="76">
        <v>617.19108154580078</v>
      </c>
      <c r="T50" s="76">
        <v>166.29583306341598</v>
      </c>
      <c r="U50" s="76">
        <v>301.40492769771498</v>
      </c>
      <c r="V50" s="76">
        <v>156.71505149129791</v>
      </c>
      <c r="W50" s="76">
        <v>150.93700803556789</v>
      </c>
      <c r="X50" s="81">
        <v>571.15878245626016</v>
      </c>
      <c r="Y50" s="81">
        <v>123.92086043968328</v>
      </c>
      <c r="Z50" s="81">
        <v>121.79738715416457</v>
      </c>
      <c r="AA50" s="81">
        <v>235.40941612514936</v>
      </c>
      <c r="AB50" s="81">
        <v>155.9361555061646</v>
      </c>
      <c r="AC50" s="81">
        <v>198.24929222545285</v>
      </c>
      <c r="AD50" s="111">
        <v>182.04889754999999</v>
      </c>
      <c r="AE50" s="111">
        <v>149.37739315000002</v>
      </c>
      <c r="AF50" s="111">
        <v>185.61044120142012</v>
      </c>
      <c r="AG50" s="111">
        <f>SUM(AG51,AG54)</f>
        <v>181.22726713837909</v>
      </c>
      <c r="AH50" s="111">
        <f>SUM(AH51,AH54)</f>
        <v>185.86235978098563</v>
      </c>
      <c r="AI50" s="111">
        <f>SUM(AI51,AI54)</f>
        <v>184.73060947257767</v>
      </c>
      <c r="AJ50" s="111">
        <f>SUM(AJ51,AJ54)</f>
        <v>225.54900877816397</v>
      </c>
      <c r="AK50" s="111">
        <f>SUM(AK51,AK54)</f>
        <v>267.08469762026147</v>
      </c>
      <c r="AL50" s="111">
        <f t="shared" ref="AL50:AM50" si="13">SUM(AL51,AL54)</f>
        <v>257.67357085797187</v>
      </c>
      <c r="AM50" s="111">
        <f t="shared" si="13"/>
        <v>262.93187280184986</v>
      </c>
      <c r="AN50" s="111">
        <f t="shared" ref="AN50:AO50" si="14">SUM(AN51,AN54)</f>
        <v>219.91915625000001</v>
      </c>
      <c r="AO50" s="111">
        <f t="shared" si="14"/>
        <v>193.17366199</v>
      </c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</row>
    <row r="51" spans="1:103">
      <c r="A51" s="1" t="s">
        <v>171</v>
      </c>
      <c r="B51" s="52" t="s">
        <v>80</v>
      </c>
      <c r="C51" s="45" t="s">
        <v>171</v>
      </c>
      <c r="D51" s="111">
        <v>430.1</v>
      </c>
      <c r="E51" s="111">
        <v>370.7</v>
      </c>
      <c r="F51" s="111">
        <v>362.5</v>
      </c>
      <c r="G51" s="111">
        <v>339.4</v>
      </c>
      <c r="H51" s="111">
        <v>328.9</v>
      </c>
      <c r="I51" s="111">
        <v>151.4</v>
      </c>
      <c r="J51" s="111">
        <v>222</v>
      </c>
      <c r="K51" s="111">
        <v>328.9</v>
      </c>
      <c r="L51" s="111">
        <v>82.6</v>
      </c>
      <c r="M51" s="111">
        <v>185.2</v>
      </c>
      <c r="N51" s="111">
        <v>260.2</v>
      </c>
      <c r="O51" s="111">
        <v>86.4</v>
      </c>
      <c r="P51" s="112">
        <v>128.14507671999999</v>
      </c>
      <c r="Q51" s="112">
        <v>270.26800000000003</v>
      </c>
      <c r="R51" s="112">
        <v>369.5</v>
      </c>
      <c r="S51" s="76">
        <v>508</v>
      </c>
      <c r="T51" s="76">
        <v>115.67440312999999</v>
      </c>
      <c r="U51" s="76">
        <v>245.80350448000002</v>
      </c>
      <c r="V51" s="76">
        <v>104.58604915000001</v>
      </c>
      <c r="W51" s="76">
        <v>144.17581994</v>
      </c>
      <c r="X51" s="81">
        <v>116.07501809999999</v>
      </c>
      <c r="Y51" s="81">
        <v>118.26558542999999</v>
      </c>
      <c r="Z51" s="81">
        <v>108.59766223</v>
      </c>
      <c r="AA51" s="81">
        <v>230.50308816</v>
      </c>
      <c r="AB51" s="81">
        <v>141.03340012000001</v>
      </c>
      <c r="AC51" s="81">
        <v>189.07979763999998</v>
      </c>
      <c r="AD51" s="111">
        <v>137.34003128999998</v>
      </c>
      <c r="AE51" s="111">
        <v>137.34003129000001</v>
      </c>
      <c r="AF51" s="111">
        <v>133.58996890999998</v>
      </c>
      <c r="AG51" s="111">
        <f t="shared" ref="AG51:AH51" si="15">SUM(AG52:AG53)</f>
        <v>142.36037988999999</v>
      </c>
      <c r="AH51" s="111">
        <f t="shared" si="15"/>
        <v>126.84404364</v>
      </c>
      <c r="AI51" s="111">
        <f t="shared" ref="AI51:AJ51" si="16">SUM(AI52:AI53)</f>
        <v>127.65560028</v>
      </c>
      <c r="AJ51" s="111">
        <f t="shared" si="16"/>
        <v>144.80993828999999</v>
      </c>
      <c r="AK51" s="111">
        <f t="shared" ref="AK51:AM51" si="17">SUM(AK52:AK53)</f>
        <v>190.89817292999999</v>
      </c>
      <c r="AL51" s="111">
        <f t="shared" si="17"/>
        <v>177.31701172999999</v>
      </c>
      <c r="AM51" s="111">
        <f t="shared" si="17"/>
        <v>186.06469225000001</v>
      </c>
      <c r="AN51" s="111">
        <f t="shared" ref="AN51:AO51" si="18">SUM(AN52:AN53)</f>
        <v>140.3869081</v>
      </c>
      <c r="AO51" s="111">
        <f t="shared" si="18"/>
        <v>110.63629069999999</v>
      </c>
    </row>
    <row r="52" spans="1:103">
      <c r="A52" s="1" t="s">
        <v>172</v>
      </c>
      <c r="B52" s="43" t="s">
        <v>81</v>
      </c>
      <c r="C52" s="45" t="s">
        <v>172</v>
      </c>
      <c r="D52" s="86">
        <v>221.7</v>
      </c>
      <c r="E52" s="86">
        <v>162.69999999999999</v>
      </c>
      <c r="F52" s="86">
        <v>151.1</v>
      </c>
      <c r="G52" s="86">
        <v>121.3</v>
      </c>
      <c r="H52" s="86">
        <v>99.6</v>
      </c>
      <c r="I52" s="86">
        <v>38.200000000000003</v>
      </c>
      <c r="J52" s="86">
        <v>60.3</v>
      </c>
      <c r="K52" s="86">
        <v>99.6</v>
      </c>
      <c r="L52" s="86">
        <v>33.6</v>
      </c>
      <c r="M52" s="86">
        <v>67.599999999999994</v>
      </c>
      <c r="N52" s="86">
        <v>89.3</v>
      </c>
      <c r="O52" s="86">
        <v>65.599999999999994</v>
      </c>
      <c r="P52" s="108">
        <v>73.459999999999994</v>
      </c>
      <c r="Q52" s="108">
        <v>138.26</v>
      </c>
      <c r="R52" s="79">
        <v>179.81</v>
      </c>
      <c r="S52" s="79">
        <v>235.27699999999999</v>
      </c>
      <c r="T52" s="79">
        <v>52.949999999999996</v>
      </c>
      <c r="U52" s="79">
        <v>48</v>
      </c>
      <c r="V52" s="79">
        <v>35.9</v>
      </c>
      <c r="W52" s="79">
        <v>57.228000000000002</v>
      </c>
      <c r="X52" s="107">
        <v>38.953916899999996</v>
      </c>
      <c r="Y52" s="107">
        <v>25.61215644</v>
      </c>
      <c r="Z52" s="107">
        <v>26.086744540000002</v>
      </c>
      <c r="AA52" s="107">
        <v>131.85420643</v>
      </c>
      <c r="AB52" s="107">
        <v>60.36</v>
      </c>
      <c r="AC52" s="107">
        <v>95.405000000000001</v>
      </c>
      <c r="AD52" s="86">
        <v>49.122500000000002</v>
      </c>
      <c r="AE52" s="86">
        <v>77.887</v>
      </c>
      <c r="AF52" s="86">
        <v>44.75</v>
      </c>
      <c r="AG52" s="86">
        <v>58.755000000000003</v>
      </c>
      <c r="AH52" s="86">
        <v>36.299999999999997</v>
      </c>
      <c r="AI52" s="86">
        <v>35.668999999999997</v>
      </c>
      <c r="AJ52" s="86">
        <v>51.129999999999995</v>
      </c>
      <c r="AK52" s="86">
        <v>98.681000000000012</v>
      </c>
      <c r="AL52" s="86">
        <v>82.35</v>
      </c>
      <c r="AM52" s="86">
        <v>91.984000000000009</v>
      </c>
      <c r="AN52" s="86">
        <v>45.5</v>
      </c>
      <c r="AO52" s="86">
        <v>14.816999999999998</v>
      </c>
    </row>
    <row r="53" spans="1:103">
      <c r="A53" s="1" t="s">
        <v>173</v>
      </c>
      <c r="B53" s="146" t="s">
        <v>82</v>
      </c>
      <c r="C53" s="45" t="s">
        <v>173</v>
      </c>
      <c r="D53" s="86">
        <v>208.4</v>
      </c>
      <c r="E53" s="86">
        <v>208</v>
      </c>
      <c r="F53" s="86">
        <v>211.4</v>
      </c>
      <c r="G53" s="86">
        <v>218.1</v>
      </c>
      <c r="H53" s="86">
        <v>229.2</v>
      </c>
      <c r="I53" s="86">
        <v>113.2</v>
      </c>
      <c r="J53" s="86">
        <v>161.69999999999999</v>
      </c>
      <c r="K53" s="86">
        <v>229.2</v>
      </c>
      <c r="L53" s="86">
        <v>49</v>
      </c>
      <c r="M53" s="86">
        <v>117.6</v>
      </c>
      <c r="N53" s="86">
        <v>170.9</v>
      </c>
      <c r="O53" s="86">
        <v>20.75</v>
      </c>
      <c r="P53" s="108">
        <v>54.685076720000005</v>
      </c>
      <c r="Q53" s="108">
        <v>132.00800000000001</v>
      </c>
      <c r="R53" s="83">
        <v>189.69277026999998</v>
      </c>
      <c r="S53" s="79">
        <v>272.74486789000002</v>
      </c>
      <c r="T53" s="79">
        <v>62.724403129999992</v>
      </c>
      <c r="U53" s="79">
        <v>144.85350448</v>
      </c>
      <c r="V53" s="79">
        <v>68.686049150000002</v>
      </c>
      <c r="W53" s="79">
        <v>86.947819939999988</v>
      </c>
      <c r="X53" s="107">
        <v>77.121101199999998</v>
      </c>
      <c r="Y53" s="107">
        <v>92.653428989999995</v>
      </c>
      <c r="Z53" s="107">
        <v>82.510917689999999</v>
      </c>
      <c r="AA53" s="107">
        <v>98.648881729999999</v>
      </c>
      <c r="AB53" s="107">
        <v>80.673400120000011</v>
      </c>
      <c r="AC53" s="107">
        <v>93.674797639999994</v>
      </c>
      <c r="AD53" s="86">
        <v>88.217531289999982</v>
      </c>
      <c r="AE53" s="86">
        <v>92.590816919999995</v>
      </c>
      <c r="AF53" s="86">
        <v>88.839968909999996</v>
      </c>
      <c r="AG53" s="86">
        <v>83.605379889999995</v>
      </c>
      <c r="AH53" s="86">
        <v>90.544043639999998</v>
      </c>
      <c r="AI53" s="86">
        <v>91.986600280000005</v>
      </c>
      <c r="AJ53" s="86">
        <v>93.679938289999996</v>
      </c>
      <c r="AK53" s="86">
        <v>92.21717292999999</v>
      </c>
      <c r="AL53" s="86">
        <v>94.967011729999996</v>
      </c>
      <c r="AM53" s="86">
        <v>94.080692249999998</v>
      </c>
      <c r="AN53" s="86">
        <v>94.886908099999999</v>
      </c>
      <c r="AO53" s="86">
        <v>95.819290699999996</v>
      </c>
    </row>
    <row r="54" spans="1:103" s="46" customFormat="1">
      <c r="A54" s="126" t="s">
        <v>174</v>
      </c>
      <c r="B54" s="44" t="s">
        <v>83</v>
      </c>
      <c r="C54" s="45" t="s">
        <v>174</v>
      </c>
      <c r="D54" s="111">
        <v>65.599999999999994</v>
      </c>
      <c r="E54" s="111">
        <v>79</v>
      </c>
      <c r="F54" s="111">
        <v>84.2</v>
      </c>
      <c r="G54" s="111">
        <v>650.4</v>
      </c>
      <c r="H54" s="111">
        <v>43.2</v>
      </c>
      <c r="I54" s="111">
        <v>46</v>
      </c>
      <c r="J54" s="111">
        <v>90.1</v>
      </c>
      <c r="K54" s="111">
        <v>93.1</v>
      </c>
      <c r="L54" s="111">
        <v>38.6</v>
      </c>
      <c r="M54" s="111">
        <v>41.7</v>
      </c>
      <c r="N54" s="111">
        <v>89.3</v>
      </c>
      <c r="O54" s="111">
        <v>92.7</v>
      </c>
      <c r="P54" s="112">
        <f>SUM(P55:P56)</f>
        <v>49.085003284378502</v>
      </c>
      <c r="Q54" s="112">
        <v>53.84</v>
      </c>
      <c r="R54" s="112">
        <v>103.50644386</v>
      </c>
      <c r="S54" s="76">
        <v>109.191081545801</v>
      </c>
      <c r="T54" s="76">
        <v>50.621429933416003</v>
      </c>
      <c r="U54" s="76">
        <v>55.6014232177154</v>
      </c>
      <c r="V54" s="76">
        <v>52.129002341297891</v>
      </c>
      <c r="W54" s="76">
        <v>6.7611880955678938</v>
      </c>
      <c r="X54" s="81">
        <v>455.08376435626019</v>
      </c>
      <c r="Y54" s="81">
        <v>5.6552750096832956</v>
      </c>
      <c r="Z54" s="81">
        <v>13.199724924164576</v>
      </c>
      <c r="AA54" s="81">
        <v>4.9063279651493632</v>
      </c>
      <c r="AB54" s="81">
        <v>14.902755386164586</v>
      </c>
      <c r="AC54" s="81">
        <v>9.1694945854528598</v>
      </c>
      <c r="AD54" s="111">
        <v>44.708866259999994</v>
      </c>
      <c r="AE54" s="111">
        <v>12.037361860000001</v>
      </c>
      <c r="AF54" s="111">
        <v>52.020472291420127</v>
      </c>
      <c r="AG54" s="111">
        <f t="shared" ref="AG54:AO54" si="19">SUM(AG55:AG56)</f>
        <v>38.866887248379101</v>
      </c>
      <c r="AH54" s="111">
        <f t="shared" si="19"/>
        <v>59.018316140985647</v>
      </c>
      <c r="AI54" s="111">
        <f t="shared" si="19"/>
        <v>57.075009192577667</v>
      </c>
      <c r="AJ54" s="111">
        <f t="shared" si="19"/>
        <v>80.739070488163975</v>
      </c>
      <c r="AK54" s="111">
        <f t="shared" si="19"/>
        <v>76.186524690261479</v>
      </c>
      <c r="AL54" s="111">
        <f t="shared" si="19"/>
        <v>80.356559127971849</v>
      </c>
      <c r="AM54" s="111">
        <f t="shared" si="19"/>
        <v>76.867180551849884</v>
      </c>
      <c r="AN54" s="111">
        <f t="shared" si="19"/>
        <v>79.532248150000001</v>
      </c>
      <c r="AO54" s="111">
        <f t="shared" si="19"/>
        <v>82.53737129000001</v>
      </c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</row>
    <row r="55" spans="1:103" s="46" customFormat="1">
      <c r="A55" s="126" t="s">
        <v>175</v>
      </c>
      <c r="B55" s="48" t="s">
        <v>81</v>
      </c>
      <c r="C55" s="45" t="s">
        <v>175</v>
      </c>
      <c r="D55" s="86">
        <v>17.3</v>
      </c>
      <c r="E55" s="86">
        <v>25.2</v>
      </c>
      <c r="F55" s="86">
        <v>27.2</v>
      </c>
      <c r="G55" s="86">
        <v>580.5</v>
      </c>
      <c r="H55" s="86">
        <v>22.5</v>
      </c>
      <c r="I55" s="86">
        <v>24.4</v>
      </c>
      <c r="J55" s="86">
        <v>47.4</v>
      </c>
      <c r="K55" s="86">
        <v>49.3</v>
      </c>
      <c r="L55" s="86">
        <v>17.7</v>
      </c>
      <c r="M55" s="86">
        <v>17.899999999999999</v>
      </c>
      <c r="N55" s="86">
        <v>44.6</v>
      </c>
      <c r="O55" s="86">
        <v>44.8</v>
      </c>
      <c r="P55" s="108">
        <v>26.821411770495899</v>
      </c>
      <c r="Q55" s="108">
        <v>27.033772800064103</v>
      </c>
      <c r="R55" s="79">
        <v>54.547776499403497</v>
      </c>
      <c r="S55" s="79">
        <v>54.774910757258304</v>
      </c>
      <c r="T55" s="79">
        <v>27.67834058181705</v>
      </c>
      <c r="U55" s="79">
        <v>27.918392054009001</v>
      </c>
      <c r="V55" s="79">
        <v>29.236369960363394</v>
      </c>
      <c r="W55" s="79">
        <v>1.5588954315621117</v>
      </c>
      <c r="X55" s="107">
        <v>438.80793044709691</v>
      </c>
      <c r="Y55" s="107">
        <v>1.5448546225288864</v>
      </c>
      <c r="Z55" s="107">
        <v>10.018404636589679</v>
      </c>
      <c r="AA55" s="107">
        <v>1.75842691978861</v>
      </c>
      <c r="AB55" s="107">
        <v>11.58061327711518</v>
      </c>
      <c r="AC55" s="107">
        <v>6.3228798800000003</v>
      </c>
      <c r="AD55" s="86">
        <v>36.466551609999996</v>
      </c>
      <c r="AE55" s="86">
        <v>8.6919982400000002</v>
      </c>
      <c r="AF55" s="86">
        <v>39.160787233610769</v>
      </c>
      <c r="AG55" s="86">
        <v>20.118159893631201</v>
      </c>
      <c r="AH55" s="86">
        <v>37.242171760900739</v>
      </c>
      <c r="AI55" s="86">
        <v>24.959417801097828</v>
      </c>
      <c r="AJ55" s="86">
        <v>55.32093408403685</v>
      </c>
      <c r="AK55" s="86">
        <v>33.008931756014796</v>
      </c>
      <c r="AL55" s="86">
        <v>55.403790473846954</v>
      </c>
      <c r="AM55" s="86">
        <v>33.534008357243991</v>
      </c>
      <c r="AN55" s="86">
        <v>55.694062880000004</v>
      </c>
      <c r="AO55" s="86">
        <v>36.182196750000003</v>
      </c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</row>
    <row r="56" spans="1:103" s="46" customFormat="1">
      <c r="A56" s="126" t="s">
        <v>176</v>
      </c>
      <c r="B56" s="48" t="s">
        <v>82</v>
      </c>
      <c r="C56" s="45" t="s">
        <v>176</v>
      </c>
      <c r="D56" s="86">
        <v>48.3</v>
      </c>
      <c r="E56" s="86">
        <v>53.8</v>
      </c>
      <c r="F56" s="86">
        <v>56.9</v>
      </c>
      <c r="G56" s="86">
        <v>69.900000000000006</v>
      </c>
      <c r="H56" s="86">
        <v>20.8</v>
      </c>
      <c r="I56" s="86">
        <v>21.6</v>
      </c>
      <c r="J56" s="86">
        <v>42.7</v>
      </c>
      <c r="K56" s="86">
        <v>43.8</v>
      </c>
      <c r="L56" s="86">
        <v>20.9</v>
      </c>
      <c r="M56" s="86">
        <v>23.8</v>
      </c>
      <c r="N56" s="86">
        <v>44.6</v>
      </c>
      <c r="O56" s="86">
        <v>47.9</v>
      </c>
      <c r="P56" s="108">
        <v>22.263591513882599</v>
      </c>
      <c r="Q56" s="108">
        <v>26.809036253991</v>
      </c>
      <c r="R56" s="83">
        <v>49.321275966729203</v>
      </c>
      <c r="S56" s="79">
        <v>54.416170788542502</v>
      </c>
      <c r="T56" s="79">
        <v>22.943089351598953</v>
      </c>
      <c r="U56" s="79">
        <v>27.683031163706346</v>
      </c>
      <c r="V56" s="79">
        <v>22.892632380934501</v>
      </c>
      <c r="W56" s="79">
        <v>5.2022926640057818</v>
      </c>
      <c r="X56" s="107">
        <v>16.275833909163303</v>
      </c>
      <c r="Y56" s="107">
        <v>4.1104203871544094</v>
      </c>
      <c r="Z56" s="107">
        <v>3.1813202875748972</v>
      </c>
      <c r="AA56" s="107">
        <v>3.1479010453607534</v>
      </c>
      <c r="AB56" s="107">
        <v>3.322142109049405</v>
      </c>
      <c r="AC56" s="107">
        <v>2.8466147054528599</v>
      </c>
      <c r="AD56" s="86">
        <v>8.2423146499999991</v>
      </c>
      <c r="AE56" s="86">
        <v>3.3453636200000001</v>
      </c>
      <c r="AF56" s="86">
        <v>12.859685057809358</v>
      </c>
      <c r="AG56" s="86">
        <v>18.748727354747899</v>
      </c>
      <c r="AH56" s="86">
        <v>21.776144380084908</v>
      </c>
      <c r="AI56" s="86">
        <v>32.115591391479839</v>
      </c>
      <c r="AJ56" s="86">
        <v>25.418136404127118</v>
      </c>
      <c r="AK56" s="86">
        <v>43.177592934246682</v>
      </c>
      <c r="AL56" s="86">
        <v>24.952768654124888</v>
      </c>
      <c r="AM56" s="86">
        <v>43.333172194605893</v>
      </c>
      <c r="AN56" s="86">
        <v>23.83818527</v>
      </c>
      <c r="AO56" s="86">
        <v>46.35517454</v>
      </c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</row>
    <row r="57" spans="1:103" s="46" customFormat="1">
      <c r="A57" s="126" t="s">
        <v>177</v>
      </c>
      <c r="B57" s="44" t="s">
        <v>84</v>
      </c>
      <c r="C57" s="45" t="s">
        <v>177</v>
      </c>
      <c r="D57" s="111">
        <v>387</v>
      </c>
      <c r="E57" s="111">
        <v>383.4</v>
      </c>
      <c r="F57" s="111">
        <v>319.5</v>
      </c>
      <c r="G57" s="111">
        <v>893.1</v>
      </c>
      <c r="H57" s="111">
        <v>164.1</v>
      </c>
      <c r="I57" s="111">
        <v>234.6</v>
      </c>
      <c r="J57" s="111">
        <v>413.9</v>
      </c>
      <c r="K57" s="111">
        <v>688.9</v>
      </c>
      <c r="L57" s="111">
        <v>106.3</v>
      </c>
      <c r="M57" s="111">
        <v>285.2</v>
      </c>
      <c r="N57" s="111">
        <v>461.4</v>
      </c>
      <c r="O57" s="111">
        <v>606</v>
      </c>
      <c r="P57" s="112">
        <v>141.5228395</v>
      </c>
      <c r="Q57" s="112">
        <v>304</v>
      </c>
      <c r="R57" s="112">
        <v>563.9</v>
      </c>
      <c r="S57" s="76">
        <v>645.70000000000005</v>
      </c>
      <c r="T57" s="76">
        <v>200.45912358000001</v>
      </c>
      <c r="U57" s="76">
        <v>356.93067290579313</v>
      </c>
      <c r="V57" s="76">
        <v>612.869048257347</v>
      </c>
      <c r="W57" s="76">
        <v>441.47630045</v>
      </c>
      <c r="X57" s="81">
        <v>576.13325056807093</v>
      </c>
      <c r="Y57" s="81">
        <v>154.11112837000002</v>
      </c>
      <c r="Z57" s="81">
        <v>350.56457976459978</v>
      </c>
      <c r="AA57" s="81">
        <v>546.68352738999999</v>
      </c>
      <c r="AB57" s="81">
        <v>441.82365695000004</v>
      </c>
      <c r="AC57" s="81">
        <v>181.23823980200001</v>
      </c>
      <c r="AD57" s="111">
        <v>352.0769603</v>
      </c>
      <c r="AE57" s="111">
        <v>772.85621012999991</v>
      </c>
      <c r="AF57" s="111">
        <v>306.23490781500004</v>
      </c>
      <c r="AG57" s="111">
        <f t="shared" ref="AG57:AO57" si="20">SUM(AG58:AG59)</f>
        <v>211.68539991</v>
      </c>
      <c r="AH57" s="111">
        <f t="shared" si="20"/>
        <v>223.21425263999998</v>
      </c>
      <c r="AI57" s="111">
        <f t="shared" si="20"/>
        <v>172.94258686514627</v>
      </c>
      <c r="AJ57" s="111">
        <f t="shared" si="20"/>
        <v>167.34977531999999</v>
      </c>
      <c r="AK57" s="111">
        <f t="shared" si="20"/>
        <v>254.58477447999999</v>
      </c>
      <c r="AL57" s="111">
        <f t="shared" si="20"/>
        <v>164.21697141000001</v>
      </c>
      <c r="AM57" s="111">
        <f t="shared" si="20"/>
        <v>454.11583578</v>
      </c>
      <c r="AN57" s="111">
        <f t="shared" si="20"/>
        <v>420.73460762000002</v>
      </c>
      <c r="AO57" s="111">
        <f t="shared" si="20"/>
        <v>70.929378400000004</v>
      </c>
      <c r="AP57" s="111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</row>
    <row r="58" spans="1:103" s="46" customFormat="1">
      <c r="A58" s="126" t="s">
        <v>178</v>
      </c>
      <c r="B58" s="48" t="s">
        <v>85</v>
      </c>
      <c r="C58" s="45" t="s">
        <v>178</v>
      </c>
      <c r="D58" s="86">
        <v>136.6</v>
      </c>
      <c r="E58" s="86">
        <v>301.5</v>
      </c>
      <c r="F58" s="86">
        <v>201.8</v>
      </c>
      <c r="G58" s="86">
        <v>369.3</v>
      </c>
      <c r="H58" s="86">
        <v>60.8</v>
      </c>
      <c r="I58" s="86">
        <v>129.19999999999999</v>
      </c>
      <c r="J58" s="86">
        <v>304.89999999999998</v>
      </c>
      <c r="K58" s="86">
        <v>465.8</v>
      </c>
      <c r="L58" s="86">
        <v>104.7</v>
      </c>
      <c r="M58" s="86">
        <v>280.89999999999998</v>
      </c>
      <c r="N58" s="86">
        <v>450.3</v>
      </c>
      <c r="O58" s="86">
        <v>531.79999999999995</v>
      </c>
      <c r="P58" s="108">
        <v>138.78399999999999</v>
      </c>
      <c r="Q58" s="108">
        <v>300.589</v>
      </c>
      <c r="R58" s="79">
        <v>557.21</v>
      </c>
      <c r="S58" s="79">
        <v>630.79999999999995</v>
      </c>
      <c r="T58" s="79">
        <v>102.453</v>
      </c>
      <c r="U58" s="79">
        <v>185.31</v>
      </c>
      <c r="V58" s="79">
        <v>324.45699999999999</v>
      </c>
      <c r="W58" s="79">
        <v>394.29</v>
      </c>
      <c r="X58" s="107">
        <v>43.8</v>
      </c>
      <c r="Y58" s="107">
        <v>150.00900000000001</v>
      </c>
      <c r="Z58" s="107">
        <v>106</v>
      </c>
      <c r="AA58" s="107">
        <v>183.7</v>
      </c>
      <c r="AB58" s="107">
        <v>408.19100000000003</v>
      </c>
      <c r="AC58" s="107">
        <v>145.79500000000002</v>
      </c>
      <c r="AD58" s="86">
        <v>131.76999999999998</v>
      </c>
      <c r="AE58" s="86">
        <v>113.20400000000001</v>
      </c>
      <c r="AF58" s="86">
        <v>154.43700000000001</v>
      </c>
      <c r="AG58" s="86">
        <v>172.05799999999999</v>
      </c>
      <c r="AH58" s="86">
        <v>191.15799999999999</v>
      </c>
      <c r="AI58" s="86">
        <v>79.346999999999994</v>
      </c>
      <c r="AJ58" s="86">
        <v>149.53399999999999</v>
      </c>
      <c r="AK58" s="86">
        <v>236.976</v>
      </c>
      <c r="AL58" s="86">
        <v>136.59</v>
      </c>
      <c r="AM58" s="86">
        <v>204.5</v>
      </c>
      <c r="AN58" s="86">
        <v>241.00599999999997</v>
      </c>
      <c r="AO58" s="86">
        <v>48.794000000000004</v>
      </c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</row>
    <row r="59" spans="1:103" s="46" customFormat="1">
      <c r="A59" s="126" t="s">
        <v>179</v>
      </c>
      <c r="B59" s="48" t="s">
        <v>86</v>
      </c>
      <c r="C59" s="45" t="s">
        <v>179</v>
      </c>
      <c r="D59" s="86">
        <v>250.4</v>
      </c>
      <c r="E59" s="86">
        <v>81.900000000000006</v>
      </c>
      <c r="F59" s="86">
        <v>117.8</v>
      </c>
      <c r="G59" s="86">
        <v>523.70000000000005</v>
      </c>
      <c r="H59" s="86">
        <v>103.2</v>
      </c>
      <c r="I59" s="86">
        <v>105.4</v>
      </c>
      <c r="J59" s="86">
        <v>109</v>
      </c>
      <c r="K59" s="86">
        <v>223</v>
      </c>
      <c r="L59" s="86">
        <v>1.6</v>
      </c>
      <c r="M59" s="86">
        <v>4.3</v>
      </c>
      <c r="N59" s="86">
        <v>11.1</v>
      </c>
      <c r="O59" s="86">
        <v>74.2</v>
      </c>
      <c r="P59" s="108">
        <v>2.7388395000000001</v>
      </c>
      <c r="Q59" s="108">
        <v>3.3937534641219509</v>
      </c>
      <c r="R59" s="83">
        <v>6.7329433405500225</v>
      </c>
      <c r="S59" s="79">
        <v>14.896310808761994</v>
      </c>
      <c r="T59" s="79">
        <v>18.006123580000001</v>
      </c>
      <c r="U59" s="79">
        <v>8.1145493300000009</v>
      </c>
      <c r="V59" s="79">
        <v>288.41204825734701</v>
      </c>
      <c r="W59" s="79">
        <v>47.186300449999997</v>
      </c>
      <c r="X59" s="107">
        <v>532.33325056807098</v>
      </c>
      <c r="Y59" s="107">
        <v>4.1021283700000009</v>
      </c>
      <c r="Z59" s="107">
        <v>244.56457976459978</v>
      </c>
      <c r="AA59" s="107">
        <v>362.98352739000001</v>
      </c>
      <c r="AB59" s="107">
        <v>33.632656949999998</v>
      </c>
      <c r="AC59" s="107">
        <v>35.443239802000001</v>
      </c>
      <c r="AD59" s="86">
        <v>220.30696030000001</v>
      </c>
      <c r="AE59" s="86">
        <v>659.65221012999996</v>
      </c>
      <c r="AF59" s="86">
        <v>151.797907815</v>
      </c>
      <c r="AG59" s="86">
        <v>39.627399910000001</v>
      </c>
      <c r="AH59" s="86">
        <v>32.056252639999997</v>
      </c>
      <c r="AI59" s="86">
        <v>93.595586865146274</v>
      </c>
      <c r="AJ59" s="86">
        <v>17.81577532</v>
      </c>
      <c r="AK59" s="86">
        <v>17.608774480000001</v>
      </c>
      <c r="AL59" s="86">
        <v>27.626971409999999</v>
      </c>
      <c r="AM59" s="86">
        <v>249.61583577999997</v>
      </c>
      <c r="AN59" s="86">
        <v>179.72860762000002</v>
      </c>
      <c r="AO59" s="86">
        <v>22.1353784</v>
      </c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</row>
    <row r="60" spans="1:103" s="35" customFormat="1" hidden="1">
      <c r="A60" s="32"/>
      <c r="B60" s="33" t="s">
        <v>87</v>
      </c>
      <c r="C60" s="34"/>
      <c r="P60" s="63"/>
      <c r="Q60" s="70"/>
      <c r="R60" s="130"/>
      <c r="S60" s="47"/>
      <c r="T60" s="41"/>
      <c r="U60" s="41"/>
      <c r="V60" s="41"/>
      <c r="W60" s="41"/>
      <c r="AJ60" s="86">
        <f>SUM(Central_Government_Debt_M!BS61:BU61)</f>
        <v>0</v>
      </c>
      <c r="AK60" s="86"/>
      <c r="AO60" s="86">
        <f>SUM(Central_Government_Debt_M!CH61:CJ61)</f>
        <v>0</v>
      </c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</row>
    <row r="61" spans="1:103" hidden="1">
      <c r="A61" s="1" t="s">
        <v>164</v>
      </c>
      <c r="B61" s="49" t="s">
        <v>88</v>
      </c>
      <c r="C61" s="45" t="s">
        <v>164</v>
      </c>
      <c r="D61" s="57">
        <v>737.18</v>
      </c>
      <c r="E61" s="57">
        <v>724.33</v>
      </c>
      <c r="F61" s="57">
        <v>831.7</v>
      </c>
      <c r="G61" s="57">
        <v>687.98</v>
      </c>
      <c r="H61" s="57">
        <v>778</v>
      </c>
      <c r="I61" s="57">
        <v>779.12</v>
      </c>
      <c r="J61" s="57">
        <v>777.6</v>
      </c>
      <c r="K61" s="57">
        <v>854.2</v>
      </c>
      <c r="L61" s="57">
        <v>876.2</v>
      </c>
      <c r="M61" s="57">
        <v>850.2</v>
      </c>
      <c r="N61" s="57">
        <v>875.3</v>
      </c>
      <c r="O61" s="57">
        <v>954.5</v>
      </c>
      <c r="P61" s="63">
        <v>972.73249883000005</v>
      </c>
      <c r="Q61" s="63">
        <v>954.19</v>
      </c>
      <c r="R61" s="131">
        <v>967.89</v>
      </c>
      <c r="S61" s="48"/>
      <c r="T61" s="48"/>
      <c r="U61" s="48"/>
      <c r="V61" s="48"/>
      <c r="W61" s="48"/>
      <c r="AJ61" s="86">
        <f>SUM(Central_Government_Debt_M!BS62:BU62)</f>
        <v>0</v>
      </c>
      <c r="AK61" s="86"/>
      <c r="AO61" s="86">
        <f>SUM(Central_Government_Debt_M!CH62:CJ62)</f>
        <v>0</v>
      </c>
    </row>
    <row r="62" spans="1:103" hidden="1">
      <c r="A62" s="1" t="s">
        <v>165</v>
      </c>
      <c r="B62" s="49" t="s">
        <v>89</v>
      </c>
      <c r="C62" s="45" t="s">
        <v>165</v>
      </c>
      <c r="D62" s="57">
        <v>266.26</v>
      </c>
      <c r="E62" s="57">
        <v>327.67</v>
      </c>
      <c r="F62" s="57">
        <v>530.20000000000005</v>
      </c>
      <c r="G62" s="57">
        <v>557.88</v>
      </c>
      <c r="H62" s="57">
        <v>534.74</v>
      </c>
      <c r="I62" s="57">
        <v>529.83000000000004</v>
      </c>
      <c r="J62" s="57">
        <v>523.9</v>
      </c>
      <c r="K62" s="57">
        <v>501.3</v>
      </c>
      <c r="L62" s="57">
        <v>514.29999999999995</v>
      </c>
      <c r="M62" s="57">
        <v>522.20000000000005</v>
      </c>
      <c r="N62" s="57">
        <v>517.5</v>
      </c>
      <c r="O62" s="57">
        <v>489.3</v>
      </c>
      <c r="P62" s="63">
        <v>471.83862760000005</v>
      </c>
      <c r="Q62" s="63">
        <v>479.95</v>
      </c>
      <c r="R62" s="131">
        <v>468.68</v>
      </c>
      <c r="S62" s="48"/>
      <c r="T62" s="48"/>
      <c r="U62" s="48"/>
      <c r="V62" s="48"/>
      <c r="W62" s="48"/>
      <c r="AJ62" s="86">
        <f>SUM(Central_Government_Debt_M!BS63:BU63)</f>
        <v>0</v>
      </c>
      <c r="AK62" s="86"/>
      <c r="AO62" s="86">
        <f>SUM(Central_Government_Debt_M!CH63:CJ63)</f>
        <v>0</v>
      </c>
    </row>
    <row r="63" spans="1:103" hidden="1">
      <c r="A63" s="1" t="s">
        <v>166</v>
      </c>
      <c r="B63" s="49" t="s">
        <v>90</v>
      </c>
      <c r="C63" s="45" t="s">
        <v>166</v>
      </c>
      <c r="D63" s="57" t="s">
        <v>197</v>
      </c>
      <c r="E63" s="57"/>
      <c r="F63" s="57"/>
      <c r="G63" s="57"/>
      <c r="H63" s="57"/>
      <c r="I63" s="57">
        <v>0.22</v>
      </c>
      <c r="J63" s="57">
        <v>2.1</v>
      </c>
      <c r="K63" s="57">
        <v>2.1</v>
      </c>
      <c r="L63" s="57">
        <v>2.2000000000000002</v>
      </c>
      <c r="M63" s="57">
        <v>2.2000000000000002</v>
      </c>
      <c r="N63" s="57">
        <v>2.2999999999999998</v>
      </c>
      <c r="O63" s="57">
        <v>2.2000000000000002</v>
      </c>
      <c r="P63" s="63">
        <v>2.1967293099999998</v>
      </c>
      <c r="Q63" s="63">
        <v>2.2799999999999998</v>
      </c>
      <c r="R63" s="131">
        <v>2.2599999999999998</v>
      </c>
      <c r="S63" s="48"/>
      <c r="T63" s="48"/>
      <c r="U63" s="48"/>
      <c r="V63" s="48"/>
      <c r="W63" s="48"/>
      <c r="AJ63" s="86">
        <f>SUM(Central_Government_Debt_M!BS64:BU64)</f>
        <v>0</v>
      </c>
      <c r="AK63" s="86"/>
      <c r="AO63" s="86">
        <f>SUM(Central_Government_Debt_M!CH64:CJ64)</f>
        <v>0</v>
      </c>
    </row>
    <row r="64" spans="1:103" hidden="1">
      <c r="A64" s="1" t="s">
        <v>167</v>
      </c>
      <c r="B64" s="49" t="s">
        <v>91</v>
      </c>
      <c r="C64" s="45" t="s">
        <v>167</v>
      </c>
      <c r="D64" s="57">
        <v>37.03</v>
      </c>
      <c r="E64" s="57">
        <v>29.49</v>
      </c>
      <c r="F64" s="57">
        <v>23.41</v>
      </c>
      <c r="G64" s="57">
        <v>16.760000000000002</v>
      </c>
      <c r="H64" s="57">
        <v>15.53</v>
      </c>
      <c r="I64" s="57">
        <v>14.4</v>
      </c>
      <c r="J64" s="57">
        <v>15.7</v>
      </c>
      <c r="K64" s="57">
        <v>13.2</v>
      </c>
      <c r="L64" s="57">
        <v>12.2</v>
      </c>
      <c r="M64" s="57">
        <v>12.3</v>
      </c>
      <c r="N64" s="57">
        <v>11.5</v>
      </c>
      <c r="O64" s="57">
        <v>11.5</v>
      </c>
      <c r="P64" s="63">
        <v>10.403561230000001</v>
      </c>
      <c r="Q64" s="63">
        <v>10.58</v>
      </c>
      <c r="R64" s="131">
        <v>9.34</v>
      </c>
      <c r="S64" s="48"/>
      <c r="T64" s="48"/>
      <c r="U64" s="48"/>
      <c r="V64" s="48"/>
      <c r="W64" s="48"/>
      <c r="AJ64" s="86">
        <f>SUM(Central_Government_Debt_M!BS65:BU65)</f>
        <v>0</v>
      </c>
      <c r="AK64" s="86"/>
      <c r="AO64" s="86">
        <f>SUM(Central_Government_Debt_M!CH65:CJ65)</f>
        <v>0</v>
      </c>
    </row>
    <row r="65" spans="1:103" hidden="1">
      <c r="A65" s="1" t="s">
        <v>198</v>
      </c>
      <c r="B65" s="24" t="s">
        <v>29</v>
      </c>
      <c r="C65" s="45" t="s">
        <v>198</v>
      </c>
      <c r="D65" s="57">
        <v>1040.47</v>
      </c>
      <c r="E65" s="57">
        <v>1081.48</v>
      </c>
      <c r="F65" s="57">
        <v>1385.31</v>
      </c>
      <c r="G65" s="57">
        <v>1262.6300000000001</v>
      </c>
      <c r="H65" s="57">
        <v>1328.27</v>
      </c>
      <c r="I65" s="57">
        <v>1323.57</v>
      </c>
      <c r="J65" s="57">
        <v>1319.3</v>
      </c>
      <c r="K65" s="57">
        <v>1370.8</v>
      </c>
      <c r="L65" s="57">
        <v>1404.9</v>
      </c>
      <c r="M65" s="57">
        <v>1386.9</v>
      </c>
      <c r="N65" s="57">
        <v>1406.51</v>
      </c>
      <c r="O65" s="57">
        <v>1457.5</v>
      </c>
      <c r="P65" s="59">
        <v>1457.1714169699999</v>
      </c>
      <c r="Q65" s="62">
        <v>1447</v>
      </c>
      <c r="R65" s="105">
        <f>SUM(R61:R64)</f>
        <v>1448.1699999999998</v>
      </c>
      <c r="S65" s="47"/>
      <c r="T65" s="48"/>
      <c r="U65" s="48"/>
      <c r="V65" s="48"/>
      <c r="W65" s="48"/>
      <c r="AJ65" s="86">
        <f>SUM(Central_Government_Debt_M!BS66:BU66)</f>
        <v>0</v>
      </c>
      <c r="AK65" s="86"/>
      <c r="AO65" s="86">
        <f>SUM(Central_Government_Debt_M!CH66:CJ66)</f>
        <v>0</v>
      </c>
    </row>
    <row r="66" spans="1:103" s="35" customFormat="1" hidden="1">
      <c r="A66" s="32"/>
      <c r="B66" s="33" t="s">
        <v>92</v>
      </c>
      <c r="C66" s="34"/>
      <c r="P66" s="46"/>
      <c r="Q66" s="63"/>
      <c r="R66" s="130"/>
      <c r="S66" s="47"/>
      <c r="T66" s="41"/>
      <c r="U66" s="41"/>
      <c r="V66" s="41"/>
      <c r="W66" s="41"/>
      <c r="AJ66" s="86">
        <f>SUM(Central_Government_Debt_M!BS67:BU67)</f>
        <v>0</v>
      </c>
      <c r="AK66" s="86"/>
      <c r="AO66" s="86">
        <f>SUM(Central_Government_Debt_M!CH67:CJ67)</f>
        <v>0</v>
      </c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</row>
    <row r="67" spans="1:103" hidden="1">
      <c r="A67" s="45" t="s">
        <v>168</v>
      </c>
      <c r="B67" s="1" t="s">
        <v>93</v>
      </c>
      <c r="C67" s="45" t="s">
        <v>168</v>
      </c>
      <c r="G67">
        <v>787.4</v>
      </c>
      <c r="H67">
        <v>767.4</v>
      </c>
      <c r="I67">
        <v>761.5</v>
      </c>
      <c r="J67">
        <v>554.9</v>
      </c>
      <c r="K67">
        <v>562.20000000000005</v>
      </c>
      <c r="L67">
        <v>525.29999999999995</v>
      </c>
      <c r="M67">
        <v>517.6</v>
      </c>
      <c r="N67">
        <v>531.29999999999995</v>
      </c>
      <c r="O67" s="58">
        <v>586.70000000000005</v>
      </c>
      <c r="P67" s="66">
        <f>617723639.531303/1000000</f>
        <v>617.72363953130309</v>
      </c>
      <c r="Q67" s="95">
        <f>661534391.92/1000000</f>
        <v>661.53439191999996</v>
      </c>
      <c r="R67" s="130"/>
      <c r="T67" s="48"/>
      <c r="U67" s="48"/>
      <c r="V67" s="48"/>
      <c r="W67" s="48"/>
      <c r="AJ67" s="86">
        <f>SUM(Central_Government_Debt_M!BS68:BU68)</f>
        <v>0</v>
      </c>
      <c r="AK67" s="86"/>
      <c r="AO67" s="86">
        <f>SUM(Central_Government_Debt_M!CH68:CJ68)</f>
        <v>0</v>
      </c>
    </row>
    <row r="68" spans="1:103" hidden="1">
      <c r="A68" s="45" t="s">
        <v>195</v>
      </c>
      <c r="B68" s="1" t="s">
        <v>194</v>
      </c>
      <c r="C68" s="45" t="s">
        <v>195</v>
      </c>
      <c r="G68" s="51">
        <v>8.3000000000000007</v>
      </c>
      <c r="H68" s="51">
        <v>7.8</v>
      </c>
      <c r="I68" s="51">
        <v>7.4</v>
      </c>
      <c r="J68" s="51">
        <v>5.4</v>
      </c>
      <c r="K68" s="51">
        <v>5.5</v>
      </c>
      <c r="L68" s="51">
        <v>4.8</v>
      </c>
      <c r="M68" s="51">
        <v>4.7</v>
      </c>
      <c r="N68" s="51">
        <v>4.8</v>
      </c>
      <c r="O68" s="58">
        <v>5.62</v>
      </c>
      <c r="P68" s="58">
        <v>5.54</v>
      </c>
      <c r="Q68" s="96">
        <v>5.9</v>
      </c>
      <c r="R68" s="130"/>
      <c r="T68" s="48"/>
      <c r="U68" s="48"/>
      <c r="V68" s="48"/>
      <c r="W68" s="48"/>
      <c r="AJ68" s="86">
        <f>SUM(Central_Government_Debt_M!BS69:BU69)</f>
        <v>0</v>
      </c>
      <c r="AK68" s="86"/>
      <c r="AO68" s="86">
        <f>SUM(Central_Government_Debt_M!CH69:CJ69)</f>
        <v>0</v>
      </c>
    </row>
    <row r="69" spans="1:103" hidden="1">
      <c r="A69" s="45" t="s">
        <v>169</v>
      </c>
      <c r="B69" s="1" t="s">
        <v>94</v>
      </c>
      <c r="C69" s="45" t="s">
        <v>169</v>
      </c>
      <c r="G69" s="51">
        <v>1259.2</v>
      </c>
      <c r="H69" s="51">
        <v>810.9</v>
      </c>
      <c r="I69" s="51">
        <v>1231.5</v>
      </c>
      <c r="J69" s="51">
        <v>1030.0999999999999</v>
      </c>
      <c r="K69" s="51">
        <v>1019.8</v>
      </c>
      <c r="L69" s="51">
        <v>995.3</v>
      </c>
      <c r="M69" s="51">
        <v>969</v>
      </c>
      <c r="N69" s="51">
        <v>994.3</v>
      </c>
      <c r="O69" s="66">
        <v>1119.5999999999999</v>
      </c>
      <c r="P69" s="66">
        <v>1159.90681918721</v>
      </c>
      <c r="Q69" s="95">
        <v>1192.68060391004</v>
      </c>
      <c r="R69" s="130"/>
      <c r="T69" s="48"/>
      <c r="U69" s="48"/>
      <c r="V69" s="48"/>
      <c r="W69" s="48"/>
      <c r="AJ69" s="86">
        <f>SUM(Central_Government_Debt_M!BS70:BU70)</f>
        <v>0</v>
      </c>
      <c r="AK69" s="86"/>
      <c r="AO69" s="86">
        <f>SUM(Central_Government_Debt_M!CH70:CJ70)</f>
        <v>0</v>
      </c>
    </row>
    <row r="70" spans="1:103" hidden="1">
      <c r="A70" s="45" t="s">
        <v>196</v>
      </c>
      <c r="B70" s="1" t="s">
        <v>194</v>
      </c>
      <c r="C70" s="45" t="s">
        <v>196</v>
      </c>
      <c r="G70" s="51">
        <v>13.2</v>
      </c>
      <c r="H70" s="51">
        <v>8.1999999999999993</v>
      </c>
      <c r="I70" s="51">
        <v>12</v>
      </c>
      <c r="J70" s="51">
        <v>10</v>
      </c>
      <c r="K70" s="51">
        <v>9.9</v>
      </c>
      <c r="L70" s="51">
        <v>9.1</v>
      </c>
      <c r="M70" s="51">
        <v>8.8000000000000007</v>
      </c>
      <c r="N70" s="51">
        <v>9.1</v>
      </c>
      <c r="O70" s="58">
        <v>10.72</v>
      </c>
      <c r="P70" s="66">
        <v>10.41</v>
      </c>
      <c r="Q70" s="96">
        <v>10.7</v>
      </c>
      <c r="R70" s="130"/>
      <c r="T70" s="48"/>
      <c r="U70" s="48"/>
      <c r="V70" s="48"/>
      <c r="W70" s="48"/>
      <c r="AJ70" s="86">
        <f>SUM(Central_Government_Debt_M!BS71:BU71)</f>
        <v>0</v>
      </c>
      <c r="AK70" s="86"/>
      <c r="AO70" s="86">
        <f>SUM(Central_Government_Debt_M!CH71:CJ71)</f>
        <v>0</v>
      </c>
    </row>
    <row r="71" spans="1:103">
      <c r="O71" s="46"/>
      <c r="P71" s="58"/>
      <c r="R71" s="130"/>
    </row>
    <row r="72" spans="1:103">
      <c r="R72" s="130"/>
    </row>
    <row r="73" spans="1:103">
      <c r="P73" s="65"/>
    </row>
    <row r="74" spans="1:103">
      <c r="P74" s="65"/>
    </row>
  </sheetData>
  <conditionalFormatting sqref="A29">
    <cfRule type="duplicateValues" dxfId="23" priority="12"/>
  </conditionalFormatting>
  <conditionalFormatting sqref="C49">
    <cfRule type="duplicateValues" dxfId="22" priority="11"/>
  </conditionalFormatting>
  <conditionalFormatting sqref="C60">
    <cfRule type="duplicateValues" dxfId="21" priority="10"/>
  </conditionalFormatting>
  <conditionalFormatting sqref="C66">
    <cfRule type="duplicateValues" dxfId="20" priority="9"/>
  </conditionalFormatting>
  <conditionalFormatting sqref="C61:C65 C35:C38 C67:C70 C40:C44 C46">
    <cfRule type="duplicateValues" dxfId="19" priority="8"/>
  </conditionalFormatting>
  <conditionalFormatting sqref="C50:C59">
    <cfRule type="duplicateValues" dxfId="18" priority="7"/>
  </conditionalFormatting>
  <conditionalFormatting sqref="A42">
    <cfRule type="duplicateValues" dxfId="17" priority="6"/>
  </conditionalFormatting>
  <conditionalFormatting sqref="A67:A70">
    <cfRule type="duplicateValues" dxfId="16" priority="5"/>
  </conditionalFormatting>
  <conditionalFormatting sqref="C12:C34">
    <cfRule type="duplicateValues" dxfId="15" priority="43"/>
  </conditionalFormatting>
  <conditionalFormatting sqref="C39">
    <cfRule type="duplicateValues" dxfId="14" priority="4"/>
  </conditionalFormatting>
  <conditionalFormatting sqref="C45">
    <cfRule type="duplicateValues" dxfId="13" priority="2"/>
  </conditionalFormatting>
  <conditionalFormatting sqref="C48">
    <cfRule type="duplicateValues" dxfId="12" priority="49"/>
  </conditionalFormatting>
  <dataValidations count="2">
    <dataValidation type="list" allowBlank="1" showErrorMessage="1" prompt="_x000a_" sqref="B6">
      <formula1>#REF!</formula1>
    </dataValidation>
    <dataValidation type="list" allowBlank="1" showInputMessage="1" showErrorMessage="1" sqref="B7">
      <formula1>#REF!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L85"/>
  <sheetViews>
    <sheetView topLeftCell="A10" zoomScale="90" zoomScaleNormal="90" workbookViewId="0">
      <pane xSplit="2" ySplit="3" topLeftCell="CH34" activePane="bottomRight" state="frozen"/>
      <selection activeCell="A10" sqref="A10"/>
      <selection pane="topRight" activeCell="C10" sqref="C10"/>
      <selection pane="bottomLeft" activeCell="A13" sqref="A13"/>
      <selection pane="bottomRight" activeCell="CL58" sqref="CL58"/>
    </sheetView>
  </sheetViews>
  <sheetFormatPr defaultRowHeight="15"/>
  <cols>
    <col min="1" max="1" width="29.140625" style="1" customWidth="1"/>
    <col min="2" max="2" width="59.85546875" style="167" bestFit="1" customWidth="1"/>
    <col min="3" max="3" width="25.28515625" customWidth="1"/>
    <col min="4" max="10" width="10" customWidth="1"/>
    <col min="11" max="11" width="10" style="46" customWidth="1"/>
    <col min="12" max="12" width="10" style="117" customWidth="1"/>
    <col min="13" max="13" width="10" style="46" customWidth="1"/>
    <col min="14" max="14" width="11" style="46" customWidth="1"/>
    <col min="15" max="15" width="11.140625" style="46" customWidth="1"/>
    <col min="16" max="16" width="10.140625" style="116" customWidth="1"/>
    <col min="17" max="17" width="10" style="117" customWidth="1"/>
    <col min="18" max="18" width="10" style="114" customWidth="1"/>
    <col min="19" max="19" width="10.5703125" style="46" customWidth="1"/>
    <col min="20" max="20" width="12.5703125" style="46" customWidth="1"/>
    <col min="21" max="22" width="11.5703125" style="46" customWidth="1"/>
    <col min="23" max="23" width="10" style="46" customWidth="1"/>
    <col min="24" max="24" width="10.5703125" style="46" customWidth="1"/>
    <col min="25" max="25" width="10" style="46" customWidth="1"/>
    <col min="26" max="26" width="12.5703125" style="69" customWidth="1"/>
    <col min="27" max="27" width="10" style="46" customWidth="1"/>
    <col min="28" max="28" width="10" customWidth="1"/>
    <col min="29" max="29" width="9" customWidth="1"/>
    <col min="30" max="30" width="9.5703125" customWidth="1"/>
    <col min="31" max="31" width="9.140625" style="132" customWidth="1"/>
    <col min="32" max="33" width="12" customWidth="1"/>
    <col min="34" max="34" width="9.5703125" customWidth="1"/>
    <col min="35" max="42" width="9.7109375" style="187" customWidth="1"/>
    <col min="43" max="43" width="10.7109375" style="187" customWidth="1"/>
    <col min="44" max="44" width="9.7109375" style="188" customWidth="1"/>
    <col min="45" max="46" width="9.7109375" style="187" customWidth="1"/>
    <col min="47" max="48" width="9.7109375" style="150" customWidth="1"/>
    <col min="49" max="49" width="9.7109375" style="172" customWidth="1"/>
    <col min="50" max="52" width="9.7109375" customWidth="1"/>
    <col min="53" max="53" width="10.28515625" customWidth="1"/>
    <col min="54" max="54" width="15.7109375" bestFit="1" customWidth="1"/>
    <col min="55" max="55" width="10" bestFit="1" customWidth="1"/>
    <col min="56" max="56" width="11.140625" bestFit="1" customWidth="1"/>
    <col min="57" max="60" width="10" bestFit="1" customWidth="1"/>
    <col min="61" max="61" width="9" customWidth="1"/>
    <col min="62" max="62" width="10" bestFit="1" customWidth="1"/>
    <col min="63" max="63" width="8.42578125" bestFit="1" customWidth="1"/>
    <col min="64" max="64" width="9" bestFit="1" customWidth="1"/>
    <col min="69" max="71" width="8" bestFit="1" customWidth="1"/>
    <col min="72" max="72" width="10" bestFit="1" customWidth="1"/>
    <col min="73" max="73" width="8" bestFit="1" customWidth="1"/>
    <col min="74" max="75" width="10.42578125" customWidth="1"/>
    <col min="76" max="77" width="10.7109375" customWidth="1"/>
    <col min="78" max="78" width="10" customWidth="1"/>
    <col min="79" max="79" width="10.42578125" customWidth="1"/>
    <col min="80" max="80" width="10" bestFit="1" customWidth="1"/>
    <col min="81" max="81" width="12" bestFit="1" customWidth="1"/>
    <col min="82" max="85" width="10" bestFit="1" customWidth="1"/>
  </cols>
  <sheetData>
    <row r="1" spans="1:116" s="2" customFormat="1" ht="15.75" hidden="1" thickBot="1">
      <c r="A1" s="6" t="s">
        <v>17</v>
      </c>
      <c r="B1" s="151" t="s">
        <v>18</v>
      </c>
      <c r="C1" s="9" t="s">
        <v>19</v>
      </c>
      <c r="K1" s="46"/>
      <c r="L1" s="117"/>
      <c r="M1" s="46"/>
      <c r="N1" s="46"/>
      <c r="O1" s="46"/>
      <c r="P1" s="116"/>
      <c r="Q1" s="117"/>
      <c r="R1" s="114"/>
      <c r="S1" s="46"/>
      <c r="T1" s="46"/>
      <c r="U1" s="46"/>
      <c r="V1" s="46"/>
      <c r="W1" s="46"/>
      <c r="X1" s="46"/>
      <c r="Y1" s="46"/>
      <c r="Z1" s="69"/>
      <c r="AA1" s="46"/>
      <c r="AE1" s="134"/>
      <c r="AI1" s="185"/>
      <c r="AJ1" s="185"/>
      <c r="AK1" s="185"/>
      <c r="AL1" s="185"/>
      <c r="AM1" s="185"/>
      <c r="AN1" s="185"/>
      <c r="AO1" s="185"/>
      <c r="AP1" s="185"/>
      <c r="AQ1" s="185"/>
      <c r="AR1" s="186"/>
      <c r="AS1" s="185"/>
      <c r="AT1" s="185"/>
      <c r="AU1" s="149"/>
      <c r="AV1" s="149"/>
      <c r="AW1" s="175"/>
    </row>
    <row r="2" spans="1:116" s="2" customFormat="1" ht="15.75" hidden="1" thickBot="1">
      <c r="A2" s="6" t="s">
        <v>20</v>
      </c>
      <c r="B2" s="152" t="s">
        <v>21</v>
      </c>
      <c r="C2" s="9" t="s">
        <v>22</v>
      </c>
      <c r="K2" s="46"/>
      <c r="L2" s="117"/>
      <c r="M2" s="46"/>
      <c r="N2" s="46"/>
      <c r="O2" s="46"/>
      <c r="P2" s="116"/>
      <c r="Q2" s="117"/>
      <c r="R2" s="114"/>
      <c r="S2" s="46"/>
      <c r="T2" s="46"/>
      <c r="U2" s="46"/>
      <c r="V2" s="46"/>
      <c r="W2" s="46"/>
      <c r="X2" s="46"/>
      <c r="Y2" s="46"/>
      <c r="Z2" s="69"/>
      <c r="AA2" s="46"/>
      <c r="AE2" s="134"/>
      <c r="AI2" s="175"/>
      <c r="AJ2" s="175"/>
      <c r="AK2" s="175"/>
      <c r="AL2" s="175"/>
      <c r="AM2" s="175"/>
      <c r="AN2" s="175"/>
      <c r="AO2" s="175"/>
      <c r="AP2" s="175"/>
      <c r="AQ2" s="175"/>
      <c r="AR2" s="196"/>
      <c r="AS2" s="175"/>
      <c r="AT2" s="175"/>
      <c r="AU2" s="149"/>
      <c r="AV2" s="149"/>
      <c r="AW2" s="175"/>
    </row>
    <row r="3" spans="1:116" s="2" customFormat="1" ht="15.75" hidden="1" thickBot="1">
      <c r="A3" s="6" t="s">
        <v>0</v>
      </c>
      <c r="B3" s="151" t="s">
        <v>24</v>
      </c>
      <c r="C3" s="9" t="s">
        <v>13</v>
      </c>
      <c r="K3" s="46"/>
      <c r="L3" s="117"/>
      <c r="M3" s="46"/>
      <c r="N3" s="46"/>
      <c r="O3" s="46"/>
      <c r="P3" s="116"/>
      <c r="Q3" s="117"/>
      <c r="R3" s="114"/>
      <c r="S3" s="46"/>
      <c r="T3" s="46"/>
      <c r="U3" s="46"/>
      <c r="V3" s="46"/>
      <c r="W3" s="46"/>
      <c r="X3" s="46"/>
      <c r="Y3" s="46"/>
      <c r="Z3" s="69"/>
      <c r="AA3" s="46"/>
      <c r="AE3" s="134"/>
      <c r="AI3" s="175"/>
      <c r="AJ3" s="175"/>
      <c r="AK3" s="175"/>
      <c r="AL3" s="175"/>
      <c r="AM3" s="175"/>
      <c r="AN3" s="175"/>
      <c r="AO3" s="175"/>
      <c r="AP3" s="175"/>
      <c r="AQ3" s="175"/>
      <c r="AR3" s="196"/>
      <c r="AS3" s="175"/>
      <c r="AT3" s="175"/>
      <c r="AU3" s="149"/>
      <c r="AV3" s="149"/>
      <c r="AW3" s="175"/>
    </row>
    <row r="4" spans="1:116" s="2" customFormat="1" ht="15.75" hidden="1" thickBot="1">
      <c r="A4" s="6" t="s">
        <v>1</v>
      </c>
      <c r="B4" s="152" t="s">
        <v>25</v>
      </c>
      <c r="C4" s="9" t="s">
        <v>10</v>
      </c>
      <c r="K4" s="46"/>
      <c r="L4" s="117"/>
      <c r="M4" s="46"/>
      <c r="N4" s="46"/>
      <c r="O4" s="46"/>
      <c r="P4" s="116"/>
      <c r="Q4" s="117"/>
      <c r="R4" s="114"/>
      <c r="S4" s="46"/>
      <c r="T4" s="46"/>
      <c r="U4" s="46"/>
      <c r="V4" s="46"/>
      <c r="W4" s="46"/>
      <c r="X4" s="46"/>
      <c r="Y4" s="46"/>
      <c r="Z4" s="69"/>
      <c r="AA4" s="46"/>
      <c r="AE4" s="134"/>
      <c r="AI4" s="175"/>
      <c r="AJ4" s="175"/>
      <c r="AK4" s="175"/>
      <c r="AL4" s="175"/>
      <c r="AM4" s="175"/>
      <c r="AN4" s="175"/>
      <c r="AO4" s="175"/>
      <c r="AP4" s="175"/>
      <c r="AQ4" s="175"/>
      <c r="AR4" s="196"/>
      <c r="AS4" s="175"/>
      <c r="AT4" s="175"/>
      <c r="AU4" s="149"/>
      <c r="AV4" s="149"/>
      <c r="AW4" s="175"/>
    </row>
    <row r="5" spans="1:116" s="2" customFormat="1" ht="15.75" hidden="1" thickBot="1">
      <c r="A5" s="6" t="s">
        <v>2</v>
      </c>
      <c r="B5" s="151" t="s">
        <v>14</v>
      </c>
      <c r="C5" s="9" t="s">
        <v>11</v>
      </c>
      <c r="K5" s="46"/>
      <c r="L5" s="117"/>
      <c r="M5" s="46"/>
      <c r="N5" s="46"/>
      <c r="O5" s="46"/>
      <c r="P5" s="116"/>
      <c r="Q5" s="117"/>
      <c r="R5" s="114"/>
      <c r="S5" s="46"/>
      <c r="T5" s="46"/>
      <c r="U5" s="46"/>
      <c r="V5" s="46"/>
      <c r="W5" s="46"/>
      <c r="X5" s="46"/>
      <c r="Y5" s="46"/>
      <c r="Z5" s="69"/>
      <c r="AA5" s="46"/>
      <c r="AE5" s="134"/>
      <c r="AI5" s="175"/>
      <c r="AJ5" s="175"/>
      <c r="AK5" s="175"/>
      <c r="AL5" s="175"/>
      <c r="AM5" s="175"/>
      <c r="AN5" s="175"/>
      <c r="AO5" s="175"/>
      <c r="AP5" s="175"/>
      <c r="AQ5" s="175"/>
      <c r="AR5" s="196"/>
      <c r="AS5" s="175"/>
      <c r="AT5" s="175"/>
      <c r="AU5" s="149"/>
      <c r="AV5" s="149"/>
      <c r="AW5" s="175"/>
    </row>
    <row r="6" spans="1:116" s="2" customFormat="1" ht="15.75" hidden="1" thickBot="1">
      <c r="A6" s="4" t="s">
        <v>4</v>
      </c>
      <c r="B6" s="153">
        <v>6</v>
      </c>
      <c r="C6" s="5" t="str">
        <f>"Scale = "&amp;IF(B6=0,"Unit",(IF(B6=3,"Thousand",(IF(B6=6,"Million",(IF(B6=9,"Billion")))))))</f>
        <v>Scale = Million</v>
      </c>
      <c r="K6" s="46"/>
      <c r="L6" s="117"/>
      <c r="M6" s="46"/>
      <c r="N6" s="46"/>
      <c r="O6" s="46"/>
      <c r="P6" s="116"/>
      <c r="Q6" s="117"/>
      <c r="R6" s="114"/>
      <c r="S6" s="46"/>
      <c r="T6" s="46"/>
      <c r="U6" s="46"/>
      <c r="V6" s="46"/>
      <c r="W6" s="46"/>
      <c r="X6" s="46"/>
      <c r="Y6" s="46"/>
      <c r="Z6" s="69"/>
      <c r="AA6" s="46"/>
      <c r="AE6" s="134"/>
      <c r="AI6" s="175"/>
      <c r="AJ6" s="175"/>
      <c r="AK6" s="175"/>
      <c r="AL6" s="175"/>
      <c r="AM6" s="175"/>
      <c r="AN6" s="175"/>
      <c r="AO6" s="175"/>
      <c r="AP6" s="175"/>
      <c r="AQ6" s="175"/>
      <c r="AR6" s="196"/>
      <c r="AS6" s="175"/>
      <c r="AT6" s="175"/>
      <c r="AU6" s="149"/>
      <c r="AV6" s="149"/>
      <c r="AW6" s="175"/>
    </row>
    <row r="7" spans="1:116" s="2" customFormat="1" ht="15.75" hidden="1" thickBot="1">
      <c r="A7" s="6" t="s">
        <v>3</v>
      </c>
      <c r="B7" s="151" t="s">
        <v>8</v>
      </c>
      <c r="C7" s="8" t="str">
        <f>"Frequency = "&amp;IF(B7="A","Annual",IF(B7="Q", "Quarterly", "Monthly"))</f>
        <v>Frequency = Monthly</v>
      </c>
      <c r="K7" s="46"/>
      <c r="L7" s="117"/>
      <c r="M7" s="46"/>
      <c r="N7" s="46"/>
      <c r="O7" s="46"/>
      <c r="P7" s="116"/>
      <c r="Q7" s="117"/>
      <c r="R7" s="114"/>
      <c r="S7" s="46"/>
      <c r="T7" s="46"/>
      <c r="U7" s="46"/>
      <c r="V7" s="46"/>
      <c r="W7" s="46"/>
      <c r="X7" s="46"/>
      <c r="Y7" s="46"/>
      <c r="Z7" s="69"/>
      <c r="AA7" s="46"/>
      <c r="AE7" s="134"/>
      <c r="AI7" s="175"/>
      <c r="AJ7" s="175"/>
      <c r="AK7" s="175"/>
      <c r="AL7" s="175"/>
      <c r="AM7" s="175"/>
      <c r="AN7" s="175"/>
      <c r="AO7" s="175"/>
      <c r="AP7" s="175"/>
      <c r="AQ7" s="175"/>
      <c r="AR7" s="196"/>
      <c r="AS7" s="175"/>
      <c r="AT7" s="175"/>
      <c r="AU7" s="149"/>
      <c r="AV7" s="149"/>
      <c r="AW7" s="175"/>
    </row>
    <row r="8" spans="1:116" s="2" customFormat="1" ht="15.75" hidden="1" thickBot="1">
      <c r="A8" s="11" t="s">
        <v>9</v>
      </c>
      <c r="B8" s="154" t="s">
        <v>16</v>
      </c>
      <c r="C8" s="12" t="s">
        <v>12</v>
      </c>
      <c r="K8" s="46"/>
      <c r="L8" s="117"/>
      <c r="M8" s="46"/>
      <c r="N8" s="46"/>
      <c r="O8" s="46"/>
      <c r="P8" s="116"/>
      <c r="Q8" s="117"/>
      <c r="R8" s="114"/>
      <c r="S8" s="46"/>
      <c r="T8" s="46"/>
      <c r="U8" s="46"/>
      <c r="V8" s="46"/>
      <c r="W8" s="46"/>
      <c r="X8" s="46"/>
      <c r="Y8" s="46"/>
      <c r="Z8" s="69"/>
      <c r="AA8" s="46"/>
      <c r="AE8" s="134"/>
      <c r="AI8" s="175"/>
      <c r="AJ8" s="175"/>
      <c r="AK8" s="175"/>
      <c r="AL8" s="175"/>
      <c r="AM8" s="175"/>
      <c r="AN8" s="175"/>
      <c r="AO8" s="175"/>
      <c r="AP8" s="175"/>
      <c r="AQ8" s="175"/>
      <c r="AR8" s="196"/>
      <c r="AS8" s="175"/>
      <c r="AT8" s="175"/>
      <c r="AU8" s="149"/>
      <c r="AV8" s="149"/>
      <c r="AW8" s="175"/>
    </row>
    <row r="9" spans="1:116" s="2" customFormat="1" ht="15.75" hidden="1" thickBot="1">
      <c r="A9" s="3"/>
      <c r="B9" s="155"/>
      <c r="K9" s="46"/>
      <c r="L9" s="117"/>
      <c r="M9" s="46"/>
      <c r="N9" s="46"/>
      <c r="O9" s="46"/>
      <c r="P9" s="116"/>
      <c r="Q9" s="117"/>
      <c r="R9" s="114"/>
      <c r="S9" s="46"/>
      <c r="T9" s="46"/>
      <c r="U9" s="46"/>
      <c r="V9" s="46"/>
      <c r="W9" s="46"/>
      <c r="X9" s="46"/>
      <c r="Y9" s="46"/>
      <c r="Z9" s="69"/>
      <c r="AA9" s="46"/>
      <c r="AE9" s="134"/>
      <c r="AI9" s="175"/>
      <c r="AJ9" s="175"/>
      <c r="AK9" s="175"/>
      <c r="AL9" s="175"/>
      <c r="AM9" s="175"/>
      <c r="AN9" s="175"/>
      <c r="AO9" s="175"/>
      <c r="AP9" s="175"/>
      <c r="AQ9" s="175"/>
      <c r="AR9" s="196"/>
      <c r="AS9" s="175"/>
      <c r="AT9" s="175"/>
      <c r="AU9" s="149"/>
      <c r="AV9" s="149"/>
      <c r="AW9" s="175"/>
    </row>
    <row r="10" spans="1:116">
      <c r="A10" s="13" t="s">
        <v>7</v>
      </c>
      <c r="B10" s="156" t="s">
        <v>6</v>
      </c>
      <c r="C10" s="14" t="s">
        <v>5</v>
      </c>
      <c r="D10" s="209" t="s">
        <v>23</v>
      </c>
      <c r="E10" s="209" t="s">
        <v>34</v>
      </c>
      <c r="F10" s="209" t="s">
        <v>35</v>
      </c>
      <c r="G10" s="209" t="s">
        <v>36</v>
      </c>
      <c r="H10" s="209" t="s">
        <v>37</v>
      </c>
      <c r="I10" s="209" t="s">
        <v>38</v>
      </c>
      <c r="J10" s="209" t="s">
        <v>39</v>
      </c>
      <c r="K10" s="209" t="s">
        <v>40</v>
      </c>
      <c r="L10" s="209" t="s">
        <v>41</v>
      </c>
      <c r="M10" s="209" t="s">
        <v>42</v>
      </c>
      <c r="N10" s="209" t="s">
        <v>43</v>
      </c>
      <c r="O10" s="209" t="s">
        <v>44</v>
      </c>
      <c r="P10" s="209" t="s">
        <v>211</v>
      </c>
      <c r="Q10" s="209" t="s">
        <v>212</v>
      </c>
      <c r="R10" s="209" t="s">
        <v>213</v>
      </c>
      <c r="S10" s="209" t="s">
        <v>215</v>
      </c>
      <c r="T10" s="209" t="s">
        <v>216</v>
      </c>
      <c r="U10" s="209" t="s">
        <v>219</v>
      </c>
      <c r="V10" s="209" t="s">
        <v>221</v>
      </c>
      <c r="W10" s="209" t="s">
        <v>222</v>
      </c>
      <c r="X10" s="209" t="s">
        <v>223</v>
      </c>
      <c r="Y10" s="209" t="s">
        <v>224</v>
      </c>
      <c r="Z10" s="209" t="s">
        <v>226</v>
      </c>
      <c r="AA10" s="209" t="s">
        <v>227</v>
      </c>
      <c r="AB10" s="210" t="s">
        <v>229</v>
      </c>
      <c r="AC10" s="210" t="s">
        <v>230</v>
      </c>
      <c r="AD10" s="210" t="s">
        <v>231</v>
      </c>
      <c r="AE10" s="210" t="s">
        <v>232</v>
      </c>
      <c r="AF10" s="210" t="s">
        <v>234</v>
      </c>
      <c r="AG10" s="210" t="s">
        <v>235</v>
      </c>
      <c r="AH10" s="210" t="s">
        <v>236</v>
      </c>
      <c r="AI10" s="210" t="s">
        <v>240</v>
      </c>
      <c r="AJ10" s="210" t="s">
        <v>243</v>
      </c>
      <c r="AK10" s="210" t="s">
        <v>245</v>
      </c>
      <c r="AL10" s="210" t="s">
        <v>246</v>
      </c>
      <c r="AM10" s="210" t="s">
        <v>247</v>
      </c>
      <c r="AN10" s="210" t="s">
        <v>248</v>
      </c>
      <c r="AO10" s="210" t="s">
        <v>249</v>
      </c>
      <c r="AP10" s="210" t="s">
        <v>250</v>
      </c>
      <c r="AQ10" s="210" t="s">
        <v>251</v>
      </c>
      <c r="AR10" s="210" t="s">
        <v>252</v>
      </c>
      <c r="AS10" s="210" t="s">
        <v>253</v>
      </c>
      <c r="AT10" s="210" t="s">
        <v>254</v>
      </c>
      <c r="AU10" s="210" t="s">
        <v>255</v>
      </c>
      <c r="AV10" s="210" t="s">
        <v>259</v>
      </c>
      <c r="AW10" s="210" t="s">
        <v>260</v>
      </c>
      <c r="AX10" s="210" t="s">
        <v>262</v>
      </c>
      <c r="AY10" s="210" t="s">
        <v>263</v>
      </c>
      <c r="AZ10" s="210" t="s">
        <v>265</v>
      </c>
      <c r="BA10" s="210" t="s">
        <v>266</v>
      </c>
      <c r="BB10" s="210" t="s">
        <v>267</v>
      </c>
      <c r="BC10" s="210" t="s">
        <v>268</v>
      </c>
      <c r="BD10" s="210" t="s">
        <v>269</v>
      </c>
      <c r="BE10" s="210" t="s">
        <v>270</v>
      </c>
      <c r="BF10" s="210" t="s">
        <v>271</v>
      </c>
      <c r="BG10" s="210" t="s">
        <v>272</v>
      </c>
      <c r="BH10" s="210" t="s">
        <v>273</v>
      </c>
      <c r="BI10" s="210" t="s">
        <v>274</v>
      </c>
      <c r="BJ10" s="210" t="s">
        <v>280</v>
      </c>
      <c r="BK10" s="210" t="s">
        <v>281</v>
      </c>
      <c r="BL10" s="210" t="s">
        <v>283</v>
      </c>
      <c r="BM10" s="210" t="s">
        <v>285</v>
      </c>
      <c r="BN10" s="210" t="s">
        <v>286</v>
      </c>
      <c r="BO10" s="210" t="s">
        <v>287</v>
      </c>
      <c r="BP10" s="210" t="s">
        <v>289</v>
      </c>
      <c r="BQ10" s="210" t="s">
        <v>291</v>
      </c>
      <c r="BR10" s="210" t="s">
        <v>294</v>
      </c>
      <c r="BS10" s="210" t="s">
        <v>295</v>
      </c>
      <c r="BT10" s="210" t="s">
        <v>296</v>
      </c>
      <c r="BU10" s="210" t="s">
        <v>297</v>
      </c>
      <c r="BV10" s="210" t="s">
        <v>298</v>
      </c>
      <c r="BW10" s="210" t="s">
        <v>300</v>
      </c>
      <c r="BX10" s="210" t="s">
        <v>303</v>
      </c>
      <c r="BY10" s="15" t="s">
        <v>304</v>
      </c>
      <c r="BZ10" s="15" t="s">
        <v>305</v>
      </c>
      <c r="CA10" s="15" t="s">
        <v>306</v>
      </c>
      <c r="CB10" s="15" t="s">
        <v>307</v>
      </c>
      <c r="CC10" s="198" t="s">
        <v>308</v>
      </c>
      <c r="CD10" s="198" t="s">
        <v>309</v>
      </c>
      <c r="CE10" s="198" t="s">
        <v>310</v>
      </c>
      <c r="CF10" s="198" t="s">
        <v>314</v>
      </c>
      <c r="CG10" s="198" t="s">
        <v>315</v>
      </c>
      <c r="CH10" s="198" t="s">
        <v>316</v>
      </c>
      <c r="CI10" s="198" t="s">
        <v>317</v>
      </c>
      <c r="CJ10" s="198" t="s">
        <v>318</v>
      </c>
      <c r="CK10" s="198" t="s">
        <v>319</v>
      </c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6"/>
    </row>
    <row r="11" spans="1:116" s="20" customFormat="1">
      <c r="A11" s="21"/>
      <c r="B11" s="157" t="s">
        <v>61</v>
      </c>
      <c r="C11" s="2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</row>
    <row r="12" spans="1:116" hidden="1">
      <c r="A12" s="17"/>
      <c r="B12" s="158" t="s">
        <v>62</v>
      </c>
      <c r="C12" s="19"/>
      <c r="D12" s="107"/>
      <c r="E12" s="107"/>
      <c r="F12" s="107"/>
      <c r="G12" s="107"/>
      <c r="H12" s="107"/>
      <c r="I12" s="107"/>
      <c r="J12" s="107"/>
      <c r="K12" s="86"/>
      <c r="L12" s="84"/>
      <c r="M12" s="86"/>
      <c r="N12" s="86"/>
      <c r="O12" s="86"/>
      <c r="P12" s="84"/>
      <c r="Q12" s="84"/>
      <c r="R12" s="86"/>
      <c r="S12" s="86"/>
      <c r="T12" s="86"/>
      <c r="U12" s="86"/>
      <c r="V12" s="86"/>
      <c r="W12" s="86"/>
      <c r="X12" s="86"/>
      <c r="Y12" s="86"/>
      <c r="Z12" s="108"/>
      <c r="AA12" s="86"/>
      <c r="AB12" s="107"/>
      <c r="AC12" s="107"/>
      <c r="AD12" s="107"/>
      <c r="AE12" s="107"/>
      <c r="AF12" s="107"/>
      <c r="AG12" s="107"/>
      <c r="AH12" s="107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DL12" s="18"/>
    </row>
    <row r="13" spans="1:116" s="35" customFormat="1">
      <c r="A13" s="32" t="s">
        <v>95</v>
      </c>
      <c r="B13" s="159" t="s">
        <v>63</v>
      </c>
      <c r="C13" s="228" t="s">
        <v>95</v>
      </c>
      <c r="D13" s="205">
        <v>4824.6000000000004</v>
      </c>
      <c r="E13" s="205">
        <v>4867.3</v>
      </c>
      <c r="F13" s="205">
        <v>4924.7</v>
      </c>
      <c r="G13" s="205">
        <v>4962</v>
      </c>
      <c r="H13" s="205">
        <v>5091.8</v>
      </c>
      <c r="I13" s="205">
        <v>5159.8999999999996</v>
      </c>
      <c r="J13" s="205">
        <v>5220.5</v>
      </c>
      <c r="K13" s="205">
        <f>SUM(K14,K36)</f>
        <v>5234.8999999999996</v>
      </c>
      <c r="L13" s="205">
        <v>5261.636784364865</v>
      </c>
      <c r="M13" s="205">
        <v>5267.5079999999998</v>
      </c>
      <c r="N13" s="205">
        <v>5283.6535000000003</v>
      </c>
      <c r="O13" s="205">
        <v>5334.2942499500004</v>
      </c>
      <c r="P13" s="205">
        <v>5326.34</v>
      </c>
      <c r="Q13" s="205">
        <v>5387.0700000000006</v>
      </c>
      <c r="R13" s="205">
        <v>5425.1745000000001</v>
      </c>
      <c r="S13" s="205">
        <v>5498.7830000000004</v>
      </c>
      <c r="T13" s="205">
        <v>5573.9345000000003</v>
      </c>
      <c r="U13" s="205">
        <v>5614.2574999999997</v>
      </c>
      <c r="V13" s="205">
        <v>5735.2420000000002</v>
      </c>
      <c r="W13" s="205">
        <v>5723.0155000000004</v>
      </c>
      <c r="X13" s="205">
        <v>5792.8824999999997</v>
      </c>
      <c r="Y13" s="205">
        <v>5766.5015000000003</v>
      </c>
      <c r="Z13" s="205">
        <f t="shared" ref="Z13:AE13" si="0">SUM(Z14,Z36)</f>
        <v>5757.2185000000009</v>
      </c>
      <c r="AA13" s="205">
        <f t="shared" si="0"/>
        <v>5735.90945345</v>
      </c>
      <c r="AB13" s="205">
        <f t="shared" si="0"/>
        <v>5798.4017091700007</v>
      </c>
      <c r="AC13" s="205">
        <f t="shared" si="0"/>
        <v>5986.3536152699999</v>
      </c>
      <c r="AD13" s="205">
        <f t="shared" si="0"/>
        <v>6069.383794280001</v>
      </c>
      <c r="AE13" s="205">
        <f t="shared" si="0"/>
        <v>6361.0072791700004</v>
      </c>
      <c r="AF13" s="205">
        <f t="shared" ref="AF13:AK13" si="1">SUM(AF14,AF36)</f>
        <v>6720.7597519299998</v>
      </c>
      <c r="AG13" s="205">
        <f t="shared" si="1"/>
        <v>6699.9904374300004</v>
      </c>
      <c r="AH13" s="205">
        <f t="shared" si="1"/>
        <v>6686.01559808</v>
      </c>
      <c r="AI13" s="213">
        <f t="shared" si="1"/>
        <v>7187.5483954200008</v>
      </c>
      <c r="AJ13" s="213">
        <f t="shared" si="1"/>
        <v>6814.0251609200013</v>
      </c>
      <c r="AK13" s="213">
        <f t="shared" si="1"/>
        <v>6828.4492287000012</v>
      </c>
      <c r="AL13" s="213">
        <f t="shared" ref="AL13:AU13" si="2">SUM(AL14,AL36)</f>
        <v>6845.4703959300004</v>
      </c>
      <c r="AM13" s="213">
        <f t="shared" si="2"/>
        <v>6852.9119950900003</v>
      </c>
      <c r="AN13" s="213">
        <f t="shared" si="2"/>
        <v>6875.9985942300018</v>
      </c>
      <c r="AO13" s="213">
        <f t="shared" si="2"/>
        <v>6940.7639530400011</v>
      </c>
      <c r="AP13" s="213">
        <f t="shared" si="2"/>
        <v>7244.4413781800013</v>
      </c>
      <c r="AQ13" s="213">
        <f t="shared" si="2"/>
        <v>7225.2653142099998</v>
      </c>
      <c r="AR13" s="213">
        <f t="shared" si="2"/>
        <v>7533.444817810001</v>
      </c>
      <c r="AS13" s="213">
        <f t="shared" si="2"/>
        <v>7587.423338640001</v>
      </c>
      <c r="AT13" s="213">
        <f t="shared" si="2"/>
        <v>7663.6930184700013</v>
      </c>
      <c r="AU13" s="213">
        <f t="shared" si="2"/>
        <v>7714.7461653500013</v>
      </c>
      <c r="AV13" s="213">
        <f>SUM(AV14,AV36)</f>
        <v>7874.9977129399995</v>
      </c>
      <c r="AW13" s="213">
        <f>SUM(AW14,AW36)</f>
        <v>8003.7688171500013</v>
      </c>
      <c r="AX13" s="213">
        <f>SUM(AX14,AX36)</f>
        <v>8143.6551576299998</v>
      </c>
      <c r="AY13" s="213">
        <f>SUM(AY14,AY36)</f>
        <v>8152.3367956799993</v>
      </c>
      <c r="AZ13" s="213">
        <v>8203.8327470899985</v>
      </c>
      <c r="BA13" s="213">
        <v>8225.3558031899993</v>
      </c>
      <c r="BB13" s="213">
        <f>SUM(BB14,BB36)</f>
        <v>8397.0173295100012</v>
      </c>
      <c r="BC13" s="213">
        <f t="shared" ref="BC13:BI13" si="3">SUM(BC14,BC36)</f>
        <v>8599.9074922</v>
      </c>
      <c r="BD13" s="213">
        <f t="shared" si="3"/>
        <v>8585.1122361099988</v>
      </c>
      <c r="BE13" s="213">
        <f t="shared" si="3"/>
        <v>9069.0703323599992</v>
      </c>
      <c r="BF13" s="213">
        <f t="shared" si="3"/>
        <v>9131.9835308299989</v>
      </c>
      <c r="BG13" s="213">
        <f t="shared" si="3"/>
        <v>9193.3820888200007</v>
      </c>
      <c r="BH13" s="213">
        <f t="shared" si="3"/>
        <v>9413.650374740002</v>
      </c>
      <c r="BI13" s="213">
        <f t="shared" si="3"/>
        <v>9454.0964175900008</v>
      </c>
      <c r="BJ13" s="213">
        <f t="shared" ref="BJ13" si="4">SUM(BJ14,BJ36)</f>
        <v>9414.1103566399979</v>
      </c>
      <c r="BK13" s="213">
        <f t="shared" ref="BK13:BP13" si="5">SUM(BK14,BK36)</f>
        <v>9458.791330099999</v>
      </c>
      <c r="BL13" s="213">
        <f t="shared" si="5"/>
        <v>9445.4649307899999</v>
      </c>
      <c r="BM13" s="213">
        <f t="shared" si="5"/>
        <v>9553.5150906700001</v>
      </c>
      <c r="BN13" s="213">
        <f t="shared" si="5"/>
        <v>9610.4859892000004</v>
      </c>
      <c r="BO13" s="213">
        <f t="shared" si="5"/>
        <v>9676.2432637800011</v>
      </c>
      <c r="BP13" s="213">
        <f t="shared" si="5"/>
        <v>9731.9721884299997</v>
      </c>
      <c r="BQ13" s="213">
        <f t="shared" ref="BQ13:BR13" si="6">SUM(BQ14,BQ36)</f>
        <v>9736.8693653999999</v>
      </c>
      <c r="BR13" s="213">
        <f t="shared" si="6"/>
        <v>9747.5516380299996</v>
      </c>
      <c r="BS13" s="213">
        <f t="shared" ref="BS13:BT13" si="7">SUM(BS14,BS36)</f>
        <v>9873.7988452399986</v>
      </c>
      <c r="BT13" s="213">
        <f t="shared" si="7"/>
        <v>9941.1494232799996</v>
      </c>
      <c r="BU13" s="213">
        <f t="shared" ref="BU13:BW13" si="8">SUM(BU14,BU36)</f>
        <v>9986.3737847399989</v>
      </c>
      <c r="BV13" s="213">
        <f>SUM(BV14,BV36)</f>
        <v>9972.5615150100002</v>
      </c>
      <c r="BW13" s="213">
        <f t="shared" si="8"/>
        <v>9945.9797455199987</v>
      </c>
      <c r="BX13" s="213">
        <f>SUM(BX14,BX36)</f>
        <v>10019.59962056</v>
      </c>
      <c r="BY13" s="213">
        <f>SUM(BY14,BY36)</f>
        <v>9990.87941761</v>
      </c>
      <c r="BZ13" s="213">
        <f t="shared" ref="BZ13" si="9">SUM(BZ14,BZ36)</f>
        <v>9973.9466939600006</v>
      </c>
      <c r="CA13" s="213">
        <f t="shared" ref="CA13:CG13" si="10">SUM(CA14,CA36)</f>
        <v>10036.990206909999</v>
      </c>
      <c r="CB13" s="213">
        <f t="shared" si="10"/>
        <v>9960.0874766199995</v>
      </c>
      <c r="CC13" s="213">
        <f t="shared" si="10"/>
        <v>10016.578745000001</v>
      </c>
      <c r="CD13" s="213">
        <f t="shared" si="10"/>
        <v>10309.182453790001</v>
      </c>
      <c r="CE13" s="213">
        <f t="shared" si="10"/>
        <v>10406.70761686</v>
      </c>
      <c r="CF13" s="213">
        <f t="shared" si="10"/>
        <v>10434.927563040001</v>
      </c>
      <c r="CG13" s="213">
        <f t="shared" si="10"/>
        <v>10575.66322223</v>
      </c>
      <c r="CH13" s="213">
        <f t="shared" ref="CH13:CK13" si="11">SUM(CH14,CH36)</f>
        <v>10663.74875296</v>
      </c>
      <c r="CI13" s="213">
        <f t="shared" si="11"/>
        <v>10741.583680060001</v>
      </c>
      <c r="CJ13" s="213">
        <f t="shared" si="11"/>
        <v>10758.48475637</v>
      </c>
      <c r="CK13" s="213">
        <f t="shared" si="11"/>
        <v>10765.48017773</v>
      </c>
      <c r="DL13" s="36"/>
    </row>
    <row r="14" spans="1:116" s="20" customFormat="1">
      <c r="A14" s="37" t="s">
        <v>96</v>
      </c>
      <c r="B14" s="160" t="s">
        <v>64</v>
      </c>
      <c r="C14" s="227" t="s">
        <v>96</v>
      </c>
      <c r="D14" s="206">
        <v>3437.7</v>
      </c>
      <c r="E14" s="206">
        <v>3463.3</v>
      </c>
      <c r="F14" s="206">
        <v>3527.4</v>
      </c>
      <c r="G14" s="206">
        <v>3555.4</v>
      </c>
      <c r="H14" s="206">
        <v>3655.2</v>
      </c>
      <c r="I14" s="206">
        <v>3712.9</v>
      </c>
      <c r="J14" s="206">
        <v>3763</v>
      </c>
      <c r="K14" s="206">
        <v>3767.6</v>
      </c>
      <c r="L14" s="206">
        <v>3809.7999999999997</v>
      </c>
      <c r="M14" s="206">
        <v>3810.328</v>
      </c>
      <c r="N14" s="206">
        <v>3850.3535000000002</v>
      </c>
      <c r="O14" s="206">
        <v>3877.2190000000005</v>
      </c>
      <c r="P14" s="206">
        <v>3879.34</v>
      </c>
      <c r="Q14" s="206">
        <v>3933.2100000000005</v>
      </c>
      <c r="R14" s="206">
        <v>3985.9775000000004</v>
      </c>
      <c r="S14" s="206">
        <v>4050.6130000000003</v>
      </c>
      <c r="T14" s="206">
        <v>4120.5375000000004</v>
      </c>
      <c r="U14" s="206">
        <v>4171.5845000000008</v>
      </c>
      <c r="V14" s="206">
        <v>4278.4885000000004</v>
      </c>
      <c r="W14" s="206">
        <v>4256.3325000000004</v>
      </c>
      <c r="X14" s="206">
        <v>4335.6025</v>
      </c>
      <c r="Y14" s="206">
        <v>4320.4915000000001</v>
      </c>
      <c r="Z14" s="206">
        <f t="shared" ref="Z14:AE14" si="12">SUM(Z15,Z27)</f>
        <v>4301.0505000000003</v>
      </c>
      <c r="AA14" s="206">
        <f t="shared" si="12"/>
        <v>4301.8564999999999</v>
      </c>
      <c r="AB14" s="204">
        <f t="shared" si="12"/>
        <v>4330.3485000000001</v>
      </c>
      <c r="AC14" s="204">
        <f t="shared" si="12"/>
        <v>4368.5159999999996</v>
      </c>
      <c r="AD14" s="204">
        <f t="shared" si="12"/>
        <v>4429.2500000000009</v>
      </c>
      <c r="AE14" s="204">
        <f t="shared" si="12"/>
        <v>4612.6055000000006</v>
      </c>
      <c r="AF14" s="204">
        <f>SUM(AF15,AF27)</f>
        <v>4818.0964999999997</v>
      </c>
      <c r="AG14" s="204">
        <f>SUM(AG15,AG27)</f>
        <v>4950.6675000000005</v>
      </c>
      <c r="AH14" s="204">
        <f t="shared" ref="AH14:AN14" si="13">SUM(AH15,AH27,AH35)</f>
        <v>4976.4669505500005</v>
      </c>
      <c r="AI14" s="224">
        <f t="shared" si="13"/>
        <v>4966.4669505500005</v>
      </c>
      <c r="AJ14" s="224">
        <f t="shared" si="13"/>
        <v>4980.6669505500013</v>
      </c>
      <c r="AK14" s="224">
        <f t="shared" si="13"/>
        <v>4981.3130336500008</v>
      </c>
      <c r="AL14" s="224">
        <f t="shared" si="13"/>
        <v>5043.3130336499999</v>
      </c>
      <c r="AM14" s="224">
        <f t="shared" si="13"/>
        <v>5079.11303365</v>
      </c>
      <c r="AN14" s="224">
        <f t="shared" si="13"/>
        <v>5095.7098772100017</v>
      </c>
      <c r="AO14" s="224">
        <f t="shared" ref="AO14:AV14" si="14">SUM(AO15,AO27,AO35)</f>
        <v>5137.4098772100015</v>
      </c>
      <c r="AP14" s="224">
        <f t="shared" si="14"/>
        <v>5212.1098772100013</v>
      </c>
      <c r="AQ14" s="224">
        <f t="shared" si="14"/>
        <v>5218.4231326700001</v>
      </c>
      <c r="AR14" s="224">
        <f t="shared" si="14"/>
        <v>5238.1231326700008</v>
      </c>
      <c r="AS14" s="224">
        <f t="shared" si="14"/>
        <v>5233.8145000000004</v>
      </c>
      <c r="AT14" s="224">
        <f t="shared" si="14"/>
        <v>5241.214500000001</v>
      </c>
      <c r="AU14" s="224">
        <f t="shared" si="14"/>
        <v>5267.3165000000008</v>
      </c>
      <c r="AV14" s="224">
        <f t="shared" si="14"/>
        <v>5401.8944999999994</v>
      </c>
      <c r="AW14" s="224">
        <f>SUM(AW15,AW27,AW35)</f>
        <v>5589.0455000000011</v>
      </c>
      <c r="AX14" s="224">
        <f>SUM(AX15,AX27,AX35)</f>
        <v>5640.0744999999997</v>
      </c>
      <c r="AY14" s="224">
        <f>SUM(AY15,AY27,AY35)</f>
        <v>5653.8094999999994</v>
      </c>
      <c r="AZ14" s="224">
        <v>5639.4354999999996</v>
      </c>
      <c r="BA14" s="224">
        <v>5688.1354999999994</v>
      </c>
      <c r="BB14" s="224">
        <f>SUM(BB15,BB27)</f>
        <v>5779.0555000000004</v>
      </c>
      <c r="BC14" s="224">
        <f t="shared" ref="BC14:BI14" si="15">SUM(BC15,BC27)</f>
        <v>5901.0830000000005</v>
      </c>
      <c r="BD14" s="224">
        <f t="shared" si="15"/>
        <v>5896.62</v>
      </c>
      <c r="BE14" s="224">
        <f t="shared" si="15"/>
        <v>5911.7</v>
      </c>
      <c r="BF14" s="224">
        <f t="shared" si="15"/>
        <v>5767.4</v>
      </c>
      <c r="BG14" s="224">
        <f t="shared" si="15"/>
        <v>5799.0440000000008</v>
      </c>
      <c r="BH14" s="224">
        <f t="shared" si="15"/>
        <v>5832.0350000000008</v>
      </c>
      <c r="BI14" s="224">
        <f t="shared" si="15"/>
        <v>5875.0870000000014</v>
      </c>
      <c r="BJ14" s="224">
        <f t="shared" ref="BJ14" si="16">SUM(BJ15,BJ27)</f>
        <v>5913.954999999999</v>
      </c>
      <c r="BK14" s="224">
        <f t="shared" ref="BK14:BP14" si="17">SUM(BK15,BK27)</f>
        <v>5953.4149999999991</v>
      </c>
      <c r="BL14" s="224">
        <f t="shared" si="17"/>
        <v>5983.89</v>
      </c>
      <c r="BM14" s="224">
        <f t="shared" si="17"/>
        <v>6022.0830000000005</v>
      </c>
      <c r="BN14" s="224">
        <f t="shared" si="17"/>
        <v>6094.0619999999999</v>
      </c>
      <c r="BO14" s="224">
        <f t="shared" si="17"/>
        <v>6133.8480000000009</v>
      </c>
      <c r="BP14" s="224">
        <f t="shared" si="17"/>
        <v>6174.1140000000005</v>
      </c>
      <c r="BQ14" s="224">
        <f t="shared" ref="BQ14:BR14" si="18">SUM(BQ15,BQ27)</f>
        <v>6181.3110000000006</v>
      </c>
      <c r="BR14" s="224">
        <f t="shared" si="18"/>
        <v>6170.5260000000007</v>
      </c>
      <c r="BS14" s="224">
        <f t="shared" ref="BS14:BT14" si="19">SUM(BS15,BS27)</f>
        <v>6253.4769999999999</v>
      </c>
      <c r="BT14" s="224">
        <f t="shared" si="19"/>
        <v>6336.799</v>
      </c>
      <c r="BU14" s="224">
        <f t="shared" ref="BU14:BW14" si="20">SUM(BU15,BU27)</f>
        <v>6373.835</v>
      </c>
      <c r="BV14" s="224">
        <f t="shared" si="20"/>
        <v>6440.0769999999993</v>
      </c>
      <c r="BW14" s="224">
        <f t="shared" si="20"/>
        <v>6465.5529999999999</v>
      </c>
      <c r="BX14" s="224">
        <f>SUM(BX15,BX27)</f>
        <v>6492.125</v>
      </c>
      <c r="BY14" s="224">
        <f>SUM(BY15,BY27)</f>
        <v>6451.1149999999998</v>
      </c>
      <c r="BZ14" s="224">
        <f t="shared" ref="BZ14" si="21">SUM(BZ15,BZ27)</f>
        <v>6454.3150000000005</v>
      </c>
      <c r="CA14" s="224">
        <f t="shared" ref="CA14:CG14" si="22">SUM(CA15,CA27)</f>
        <v>6526.3649999999998</v>
      </c>
      <c r="CB14" s="224">
        <f t="shared" si="22"/>
        <v>6515.665</v>
      </c>
      <c r="CC14" s="224">
        <f t="shared" si="22"/>
        <v>6573.2810000000009</v>
      </c>
      <c r="CD14" s="224">
        <f t="shared" si="22"/>
        <v>6587.8810000000012</v>
      </c>
      <c r="CE14" s="224">
        <f t="shared" si="22"/>
        <v>6594.2029999999995</v>
      </c>
      <c r="CF14" s="224">
        <f t="shared" si="22"/>
        <v>6677.7110000000011</v>
      </c>
      <c r="CG14" s="224">
        <f t="shared" si="22"/>
        <v>6739.3870000000006</v>
      </c>
      <c r="CH14" s="224">
        <f t="shared" ref="CH14:CK14" si="23">SUM(CH15,CH27)</f>
        <v>6822.4780000000001</v>
      </c>
      <c r="CI14" s="224">
        <f t="shared" si="23"/>
        <v>6835.2810000000009</v>
      </c>
      <c r="CJ14" s="224">
        <f t="shared" si="23"/>
        <v>6848.3640000000005</v>
      </c>
      <c r="CK14" s="224">
        <f t="shared" si="23"/>
        <v>6845.8640000000005</v>
      </c>
      <c r="DL14" s="40"/>
    </row>
    <row r="15" spans="1:116">
      <c r="A15" s="17" t="s">
        <v>98</v>
      </c>
      <c r="B15" s="161" t="s">
        <v>65</v>
      </c>
      <c r="C15" s="80" t="s">
        <v>98</v>
      </c>
      <c r="D15" s="81">
        <v>3392.7</v>
      </c>
      <c r="E15" s="81">
        <v>3419.3</v>
      </c>
      <c r="F15" s="81">
        <v>3464.4</v>
      </c>
      <c r="G15" s="81">
        <v>3480.4</v>
      </c>
      <c r="H15" s="81">
        <v>3526.2</v>
      </c>
      <c r="I15" s="81">
        <v>3545.9</v>
      </c>
      <c r="J15" s="81">
        <v>3575.5</v>
      </c>
      <c r="K15" s="112">
        <v>3585.6</v>
      </c>
      <c r="L15" s="77">
        <v>3623.2999999999997</v>
      </c>
      <c r="M15" s="76">
        <v>3640.81</v>
      </c>
      <c r="N15" s="111">
        <v>3679.8385000000003</v>
      </c>
      <c r="O15" s="112">
        <v>3710.6990000000005</v>
      </c>
      <c r="P15" s="76">
        <v>3737.82</v>
      </c>
      <c r="Q15" s="76">
        <v>3847.1900000000005</v>
      </c>
      <c r="R15" s="76">
        <v>3906.9625000000005</v>
      </c>
      <c r="S15" s="76">
        <v>3952.5980000000004</v>
      </c>
      <c r="T15" s="76">
        <v>3978.5374999999999</v>
      </c>
      <c r="U15" s="112">
        <v>3961.5845000000008</v>
      </c>
      <c r="V15" s="76">
        <v>3970.9884999999999</v>
      </c>
      <c r="W15" s="76">
        <v>3956.8325000000004</v>
      </c>
      <c r="X15" s="111">
        <v>4017.6025</v>
      </c>
      <c r="Y15" s="111">
        <v>4020.4915000000001</v>
      </c>
      <c r="Z15" s="111">
        <f t="shared" ref="Z15:AG15" si="24">SUM(Z16:Z26)</f>
        <v>4003.0505000000003</v>
      </c>
      <c r="AA15" s="111">
        <f t="shared" si="24"/>
        <v>4024.3565000000003</v>
      </c>
      <c r="AB15" s="111">
        <f t="shared" si="24"/>
        <v>4055.3485000000001</v>
      </c>
      <c r="AC15" s="111">
        <f t="shared" si="24"/>
        <v>4077.0160000000001</v>
      </c>
      <c r="AD15" s="111">
        <f t="shared" si="24"/>
        <v>4140.7500000000009</v>
      </c>
      <c r="AE15" s="111">
        <f t="shared" si="24"/>
        <v>4343.9055000000008</v>
      </c>
      <c r="AF15" s="111">
        <f t="shared" si="24"/>
        <v>4549.3964999999998</v>
      </c>
      <c r="AG15" s="111">
        <f t="shared" si="24"/>
        <v>4680.9675000000007</v>
      </c>
      <c r="AH15" s="112">
        <f>SUM(AH16:AH26)</f>
        <v>4680.9675000000007</v>
      </c>
      <c r="AI15" s="76">
        <f t="shared" ref="AI15:AM15" si="25">SUM(AI16:AI26)</f>
        <v>4670.9675000000007</v>
      </c>
      <c r="AJ15" s="76">
        <f t="shared" si="25"/>
        <v>4685.1675000000014</v>
      </c>
      <c r="AK15" s="76">
        <f t="shared" si="25"/>
        <v>4692.1675000000014</v>
      </c>
      <c r="AL15" s="76">
        <f t="shared" si="25"/>
        <v>4754.1675000000005</v>
      </c>
      <c r="AM15" s="76">
        <f t="shared" si="25"/>
        <v>4799.9675000000007</v>
      </c>
      <c r="AN15" s="76">
        <f t="shared" ref="AN15:AU15" si="26">SUM(AN16:AN26)</f>
        <v>4822.9765000000016</v>
      </c>
      <c r="AO15" s="76">
        <f t="shared" si="26"/>
        <v>4859.6765000000014</v>
      </c>
      <c r="AP15" s="76">
        <f t="shared" si="26"/>
        <v>4888.3765000000012</v>
      </c>
      <c r="AQ15" s="76">
        <f t="shared" si="26"/>
        <v>4909.3765000000003</v>
      </c>
      <c r="AR15" s="76">
        <f t="shared" si="26"/>
        <v>4929.076500000001</v>
      </c>
      <c r="AS15" s="76">
        <f t="shared" si="26"/>
        <v>4941.3145000000004</v>
      </c>
      <c r="AT15" s="76">
        <f t="shared" si="26"/>
        <v>4967.714500000001</v>
      </c>
      <c r="AU15" s="76">
        <f t="shared" si="26"/>
        <v>4993.8165000000008</v>
      </c>
      <c r="AV15" s="76">
        <f>SUM(AV16:AV26)</f>
        <v>5128.3944999999994</v>
      </c>
      <c r="AW15" s="76">
        <f>SUM(AW16:AW26)</f>
        <v>5315.5455000000011</v>
      </c>
      <c r="AX15" s="76">
        <f>SUM(AX16:AX26)</f>
        <v>5366.5744999999997</v>
      </c>
      <c r="AY15" s="76">
        <f>SUM(AY16:AY26)</f>
        <v>5380.3094999999994</v>
      </c>
      <c r="AZ15" s="76">
        <v>5365.9354999999996</v>
      </c>
      <c r="BA15" s="76">
        <v>5414.6354999999994</v>
      </c>
      <c r="BB15" s="76">
        <f>SUM(BB16:BB26)</f>
        <v>5435.5555000000004</v>
      </c>
      <c r="BC15" s="76">
        <f t="shared" ref="BC15:BI15" si="27">SUM(BC16:BC26)</f>
        <v>5448.5830000000005</v>
      </c>
      <c r="BD15" s="76">
        <f t="shared" si="27"/>
        <v>5476.12</v>
      </c>
      <c r="BE15" s="76">
        <f t="shared" si="27"/>
        <v>5511.2</v>
      </c>
      <c r="BF15" s="76">
        <f t="shared" si="27"/>
        <v>5483.9</v>
      </c>
      <c r="BG15" s="76">
        <f t="shared" si="27"/>
        <v>5515.5440000000008</v>
      </c>
      <c r="BH15" s="76">
        <f t="shared" si="27"/>
        <v>5548.5350000000008</v>
      </c>
      <c r="BI15" s="76">
        <f t="shared" si="27"/>
        <v>5593.5870000000014</v>
      </c>
      <c r="BJ15" s="76">
        <f t="shared" ref="BJ15:BP15" si="28">SUM(BJ16:BJ26)</f>
        <v>5632.454999999999</v>
      </c>
      <c r="BK15" s="76">
        <f t="shared" si="28"/>
        <v>5671.9149999999991</v>
      </c>
      <c r="BL15" s="76">
        <f t="shared" si="28"/>
        <v>5706.89</v>
      </c>
      <c r="BM15" s="76">
        <f t="shared" si="28"/>
        <v>5747.0830000000005</v>
      </c>
      <c r="BN15" s="76">
        <f t="shared" si="28"/>
        <v>5821.9619999999995</v>
      </c>
      <c r="BO15" s="76">
        <f t="shared" si="28"/>
        <v>5861.7480000000005</v>
      </c>
      <c r="BP15" s="76">
        <f t="shared" si="28"/>
        <v>5907.0140000000001</v>
      </c>
      <c r="BQ15" s="76">
        <f t="shared" ref="BQ15:BR15" si="29">SUM(BQ16:BQ26)</f>
        <v>5916.2110000000002</v>
      </c>
      <c r="BR15" s="76">
        <f t="shared" si="29"/>
        <v>5905.4260000000004</v>
      </c>
      <c r="BS15" s="76">
        <f t="shared" ref="BS15:BT15" si="30">SUM(BS16:BS26)</f>
        <v>5923.4719999999998</v>
      </c>
      <c r="BT15" s="76">
        <f t="shared" si="30"/>
        <v>6006.7939999999999</v>
      </c>
      <c r="BU15" s="76">
        <f t="shared" ref="BU15" si="31">SUM(BU16:BU26)</f>
        <v>6003.83</v>
      </c>
      <c r="BV15" s="76">
        <f t="shared" ref="BV15:BZ15" si="32">SUM(BV16:BV26)</f>
        <v>6108.0719999999992</v>
      </c>
      <c r="BW15" s="76">
        <f t="shared" si="32"/>
        <v>6123.5529999999999</v>
      </c>
      <c r="BX15" s="76">
        <f t="shared" si="32"/>
        <v>6142.125</v>
      </c>
      <c r="BY15" s="76">
        <f>SUM(BY16:BY26)</f>
        <v>6143.1149999999998</v>
      </c>
      <c r="BZ15" s="76">
        <f t="shared" si="32"/>
        <v>6119.3150000000005</v>
      </c>
      <c r="CA15" s="76">
        <f t="shared" ref="CA15:CG15" si="33">SUM(CA16:CA26)</f>
        <v>6196.3649999999998</v>
      </c>
      <c r="CB15" s="76">
        <f t="shared" si="33"/>
        <v>6221.665</v>
      </c>
      <c r="CC15" s="76">
        <f t="shared" si="33"/>
        <v>6289.2810000000009</v>
      </c>
      <c r="CD15" s="76">
        <f t="shared" si="33"/>
        <v>6308.8810000000012</v>
      </c>
      <c r="CE15" s="76">
        <f t="shared" si="33"/>
        <v>6379.2029999999995</v>
      </c>
      <c r="CF15" s="76">
        <f t="shared" si="33"/>
        <v>6462.7110000000011</v>
      </c>
      <c r="CG15" s="76">
        <f t="shared" si="33"/>
        <v>6504.3870000000006</v>
      </c>
      <c r="CH15" s="76">
        <f t="shared" ref="CH15:CK15" si="34">SUM(CH16:CH26)</f>
        <v>6532.4780000000001</v>
      </c>
      <c r="CI15" s="76">
        <f t="shared" si="34"/>
        <v>6525.2810000000009</v>
      </c>
      <c r="CJ15" s="76">
        <f t="shared" si="34"/>
        <v>6538.3640000000005</v>
      </c>
      <c r="CK15" s="76">
        <f t="shared" si="34"/>
        <v>6535.8640000000005</v>
      </c>
      <c r="DL15" s="18"/>
    </row>
    <row r="16" spans="1:116">
      <c r="A16" s="17" t="s">
        <v>99</v>
      </c>
      <c r="B16" s="162" t="s">
        <v>26</v>
      </c>
      <c r="C16" s="45" t="s">
        <v>99</v>
      </c>
      <c r="D16" s="107">
        <v>2100.8000000000002</v>
      </c>
      <c r="E16" s="107">
        <v>2118.3000000000002</v>
      </c>
      <c r="F16" s="107">
        <v>2157.6</v>
      </c>
      <c r="G16" s="107">
        <v>2162.6</v>
      </c>
      <c r="H16" s="107">
        <v>2203.6999999999998</v>
      </c>
      <c r="I16" s="107">
        <v>2239.1</v>
      </c>
      <c r="J16" s="107">
        <v>2265.6</v>
      </c>
      <c r="K16" s="108">
        <v>2274</v>
      </c>
      <c r="L16" s="84">
        <v>2301.6</v>
      </c>
      <c r="M16" s="108">
        <v>2308.77</v>
      </c>
      <c r="N16" s="86">
        <v>2344.5740000000001</v>
      </c>
      <c r="O16" s="79">
        <v>2372.5740000000001</v>
      </c>
      <c r="P16" s="79">
        <v>2398.0700000000002</v>
      </c>
      <c r="Q16" s="79">
        <v>2512.17</v>
      </c>
      <c r="R16" s="86">
        <v>2580.0540000000001</v>
      </c>
      <c r="S16" s="86">
        <v>2624.0540000000001</v>
      </c>
      <c r="T16" s="86">
        <f>2658054000/1000000</f>
        <v>2658.0540000000001</v>
      </c>
      <c r="U16" s="108">
        <v>2644.0540000000001</v>
      </c>
      <c r="V16" s="108">
        <v>2647.8040000000001</v>
      </c>
      <c r="W16" s="108">
        <v>2634.904</v>
      </c>
      <c r="X16" s="86">
        <f>(975794000+1646473000+58969000)/1000000</f>
        <v>2681.2359999999999</v>
      </c>
      <c r="Y16" s="86">
        <v>2688.39</v>
      </c>
      <c r="Z16" s="86">
        <v>2672.31</v>
      </c>
      <c r="AA16" s="86">
        <v>2689.0529999999999</v>
      </c>
      <c r="AB16" s="86">
        <f>935.254+1716.333+58.969</f>
        <v>2710.556</v>
      </c>
      <c r="AC16" s="86">
        <v>2723.3820000000001</v>
      </c>
      <c r="AD16" s="86">
        <v>2749.0940000000001</v>
      </c>
      <c r="AE16" s="86">
        <v>2849.0940000000001</v>
      </c>
      <c r="AF16" s="86">
        <v>2955.2429999999999</v>
      </c>
      <c r="AG16" s="106">
        <v>3004.64</v>
      </c>
      <c r="AH16" s="106">
        <v>3004.64</v>
      </c>
      <c r="AI16" s="214">
        <v>2997.0839999999998</v>
      </c>
      <c r="AJ16" s="214">
        <v>3012.5140000000001</v>
      </c>
      <c r="AK16" s="214">
        <v>3005.5140000000001</v>
      </c>
      <c r="AL16" s="173">
        <v>3066.5140000000001</v>
      </c>
      <c r="AM16" s="79">
        <v>3080.0140000000001</v>
      </c>
      <c r="AN16" s="79">
        <v>3095.0140000000001</v>
      </c>
      <c r="AO16" s="79">
        <v>3111.0140000000001</v>
      </c>
      <c r="AP16" s="79">
        <v>3131.0140000000001</v>
      </c>
      <c r="AQ16" s="79">
        <v>3149.0140000000001</v>
      </c>
      <c r="AR16" s="79">
        <v>3154.0140000000001</v>
      </c>
      <c r="AS16" s="79">
        <v>3126.0140000000001</v>
      </c>
      <c r="AT16" s="79">
        <v>3146.114</v>
      </c>
      <c r="AU16" s="79">
        <v>3119.114</v>
      </c>
      <c r="AV16" s="79">
        <v>3151.114</v>
      </c>
      <c r="AW16" s="79">
        <v>3216.114</v>
      </c>
      <c r="AX16" s="79">
        <f>694.908+2404.017+58.969+40</f>
        <v>3197.8939999999998</v>
      </c>
      <c r="AY16" s="79">
        <f>679.908+2393.917+58.969+40</f>
        <v>3172.7939999999999</v>
      </c>
      <c r="AZ16" s="79">
        <v>3149.8939999999998</v>
      </c>
      <c r="BA16" s="79">
        <v>3168.3040000000001</v>
      </c>
      <c r="BB16" s="107">
        <v>3185.3040000000001</v>
      </c>
      <c r="BC16" s="203">
        <v>3225.3040000000001</v>
      </c>
      <c r="BD16" s="203">
        <v>3233.1239999999998</v>
      </c>
      <c r="BE16" s="203">
        <v>3275.1239999999998</v>
      </c>
      <c r="BF16" s="203">
        <v>3260.2939999999999</v>
      </c>
      <c r="BG16" s="203">
        <v>3269.1509999999998</v>
      </c>
      <c r="BH16" s="203">
        <v>3280.748</v>
      </c>
      <c r="BI16" s="203">
        <v>3324.348</v>
      </c>
      <c r="BJ16" s="79">
        <v>3347.623</v>
      </c>
      <c r="BK16" s="203">
        <v>3376.556</v>
      </c>
      <c r="BL16" s="203">
        <v>3403.9859999999999</v>
      </c>
      <c r="BM16" s="203">
        <v>3423.9690000000001</v>
      </c>
      <c r="BN16" s="203">
        <v>3490.0189999999998</v>
      </c>
      <c r="BO16" s="203">
        <v>3517.86</v>
      </c>
      <c r="BP16" s="203">
        <v>3550.6660000000002</v>
      </c>
      <c r="BQ16" s="113">
        <v>3577.9349999999999</v>
      </c>
      <c r="BR16" s="113">
        <v>3571.12</v>
      </c>
      <c r="BS16" s="113">
        <v>3557.32</v>
      </c>
      <c r="BT16" s="113">
        <v>3628.2689999999998</v>
      </c>
      <c r="BU16" s="113">
        <v>3618.7689999999998</v>
      </c>
      <c r="BV16" s="113">
        <v>3671.1990000000001</v>
      </c>
      <c r="BW16" s="236">
        <v>3687.1990000000001</v>
      </c>
      <c r="BX16" s="236">
        <v>3717.1990000000001</v>
      </c>
      <c r="BY16" s="236">
        <v>3712.1990000000001</v>
      </c>
      <c r="BZ16" s="236">
        <v>3692.5990000000002</v>
      </c>
      <c r="CA16" s="236">
        <v>3751.8490000000002</v>
      </c>
      <c r="CB16" s="236">
        <v>3772.8490000000002</v>
      </c>
      <c r="CC16" s="236">
        <v>3828.8490000000002</v>
      </c>
      <c r="CD16" s="236">
        <v>3846.8490000000002</v>
      </c>
      <c r="CE16" s="236">
        <v>3919.3490000000002</v>
      </c>
      <c r="CF16" s="236">
        <v>3972.3490000000002</v>
      </c>
      <c r="CG16" s="236">
        <v>4002.3490000000002</v>
      </c>
      <c r="CH16" s="236">
        <v>4029.3490000000002</v>
      </c>
      <c r="CI16" s="236">
        <v>4026.3490000000002</v>
      </c>
      <c r="CJ16" s="236">
        <v>4026.3490000000002</v>
      </c>
      <c r="CK16" s="236">
        <v>4016.3490000000002</v>
      </c>
      <c r="DL16" s="18"/>
    </row>
    <row r="17" spans="1:116">
      <c r="A17" s="17" t="s">
        <v>100</v>
      </c>
      <c r="B17" s="162" t="s">
        <v>66</v>
      </c>
      <c r="C17" s="45" t="s">
        <v>100</v>
      </c>
      <c r="D17" s="107">
        <v>294.89999999999998</v>
      </c>
      <c r="E17" s="107">
        <v>297.8</v>
      </c>
      <c r="F17" s="107">
        <v>297.8</v>
      </c>
      <c r="G17" s="107">
        <v>297.8</v>
      </c>
      <c r="H17" s="107">
        <v>297.8</v>
      </c>
      <c r="I17" s="107">
        <v>297.8</v>
      </c>
      <c r="J17" s="107">
        <v>297.8</v>
      </c>
      <c r="K17" s="86">
        <v>297.8</v>
      </c>
      <c r="L17" s="84">
        <v>303</v>
      </c>
      <c r="M17" s="108">
        <v>305.5</v>
      </c>
      <c r="N17" s="86">
        <v>305.51400000000001</v>
      </c>
      <c r="O17" s="79">
        <v>305.51400000000001</v>
      </c>
      <c r="P17" s="79">
        <v>309.51</v>
      </c>
      <c r="Q17" s="79">
        <v>309.51</v>
      </c>
      <c r="R17" s="86">
        <v>309.51400000000001</v>
      </c>
      <c r="S17" s="86">
        <v>309.51400000000001</v>
      </c>
      <c r="T17" s="86">
        <v>309.51400000000001</v>
      </c>
      <c r="U17" s="108">
        <v>309.51400000000001</v>
      </c>
      <c r="V17" s="108">
        <v>312.63900000000001</v>
      </c>
      <c r="W17" s="108">
        <v>312.63900000000001</v>
      </c>
      <c r="X17" s="86">
        <f>(240000000+71797000+3611000)/1000000</f>
        <v>315.40800000000002</v>
      </c>
      <c r="Y17" s="86">
        <v>315.40800000000002</v>
      </c>
      <c r="Z17" s="86">
        <v>315.40800000000002</v>
      </c>
      <c r="AA17" s="86">
        <v>318.40800000000002</v>
      </c>
      <c r="AB17" s="86">
        <f>240+74.797+3.611</f>
        <v>318.40800000000002</v>
      </c>
      <c r="AC17" s="86">
        <v>321.40800000000002</v>
      </c>
      <c r="AD17" s="86">
        <v>321.40800000000002</v>
      </c>
      <c r="AE17" s="86">
        <v>321.40800000000002</v>
      </c>
      <c r="AF17" s="86">
        <v>321.40800000000002</v>
      </c>
      <c r="AG17" s="106">
        <v>321.40800000000002</v>
      </c>
      <c r="AH17" s="106">
        <v>321.40800000000002</v>
      </c>
      <c r="AI17" s="214">
        <v>321.40800000000002</v>
      </c>
      <c r="AJ17" s="214">
        <v>321.40800000000002</v>
      </c>
      <c r="AK17" s="214">
        <v>321.40800000000002</v>
      </c>
      <c r="AL17" s="173">
        <v>321.40800000000002</v>
      </c>
      <c r="AM17" s="79">
        <v>326.40800000000002</v>
      </c>
      <c r="AN17" s="79">
        <v>326.40800000000002</v>
      </c>
      <c r="AO17" s="79">
        <v>326.40800000000002</v>
      </c>
      <c r="AP17" s="79">
        <v>326.40800000000002</v>
      </c>
      <c r="AQ17" s="79">
        <v>328.40800000000002</v>
      </c>
      <c r="AR17" s="79">
        <v>328.40800000000002</v>
      </c>
      <c r="AS17" s="79">
        <v>313.40800000000002</v>
      </c>
      <c r="AT17" s="79">
        <v>313.40800000000002</v>
      </c>
      <c r="AU17" s="79">
        <v>310.40800000000002</v>
      </c>
      <c r="AV17" s="79">
        <v>322.40800000000002</v>
      </c>
      <c r="AW17" s="79">
        <v>330.40800000000002</v>
      </c>
      <c r="AX17" s="79">
        <f>225+101.797+3.611</f>
        <v>330.40800000000002</v>
      </c>
      <c r="AY17" s="79">
        <f>225+101.797+3.611</f>
        <v>330.40800000000002</v>
      </c>
      <c r="AZ17" s="79">
        <v>330.40800000000002</v>
      </c>
      <c r="BA17" s="79">
        <v>338.40800000000002</v>
      </c>
      <c r="BB17" s="107">
        <v>338.40800000000002</v>
      </c>
      <c r="BC17" s="203">
        <v>338.40800000000002</v>
      </c>
      <c r="BD17" s="203">
        <v>338.40800000000002</v>
      </c>
      <c r="BE17" s="203">
        <v>341.40800000000002</v>
      </c>
      <c r="BF17" s="203">
        <v>341.40800000000002</v>
      </c>
      <c r="BG17" s="203">
        <v>342.79300000000001</v>
      </c>
      <c r="BH17" s="203">
        <v>343.36099999999999</v>
      </c>
      <c r="BI17" s="203">
        <v>343.36099999999999</v>
      </c>
      <c r="BJ17" s="79">
        <v>345.86099999999999</v>
      </c>
      <c r="BK17" s="203">
        <v>345.86099999999999</v>
      </c>
      <c r="BL17" s="203">
        <v>345.86099999999999</v>
      </c>
      <c r="BM17" s="203">
        <v>345.86099999999999</v>
      </c>
      <c r="BN17" s="203">
        <v>345.86099999999999</v>
      </c>
      <c r="BO17" s="203">
        <v>351.77</v>
      </c>
      <c r="BP17" s="203">
        <v>356.77</v>
      </c>
      <c r="BQ17" s="113">
        <v>356.77</v>
      </c>
      <c r="BR17" s="113">
        <v>355.86099999999999</v>
      </c>
      <c r="BS17" s="113">
        <v>356.77</v>
      </c>
      <c r="BT17" s="113">
        <v>358.67399999999998</v>
      </c>
      <c r="BU17" s="113">
        <v>358.67399999999998</v>
      </c>
      <c r="BV17" s="113">
        <v>358.67399999999998</v>
      </c>
      <c r="BW17" s="236">
        <v>354.76499999999999</v>
      </c>
      <c r="BX17" s="236">
        <v>354.76499999999999</v>
      </c>
      <c r="BY17" s="236">
        <v>354.76499999999999</v>
      </c>
      <c r="BZ17" s="236">
        <v>354.76499999999999</v>
      </c>
      <c r="CA17" s="236">
        <v>357.76499999999999</v>
      </c>
      <c r="CB17" s="236">
        <v>357.76499999999999</v>
      </c>
      <c r="CC17" s="236">
        <v>357.76499999999999</v>
      </c>
      <c r="CD17" s="236">
        <v>357.76499999999999</v>
      </c>
      <c r="CE17" s="236">
        <v>357.76499999999999</v>
      </c>
      <c r="CF17" s="236">
        <v>359.76499999999999</v>
      </c>
      <c r="CG17" s="236">
        <v>359.76499999999999</v>
      </c>
      <c r="CH17" s="236">
        <v>359.76499999999999</v>
      </c>
      <c r="CI17" s="236">
        <v>359.76499999999999</v>
      </c>
      <c r="CJ17" s="236">
        <v>359.76499999999999</v>
      </c>
      <c r="CK17" s="236">
        <v>359.76499999999999</v>
      </c>
      <c r="DL17" s="18"/>
    </row>
    <row r="18" spans="1:116">
      <c r="A18" s="17" t="s">
        <v>101</v>
      </c>
      <c r="B18" s="162" t="s">
        <v>67</v>
      </c>
      <c r="C18" s="45" t="s">
        <v>101</v>
      </c>
      <c r="D18" s="107">
        <v>40</v>
      </c>
      <c r="E18" s="107">
        <v>41.4</v>
      </c>
      <c r="F18" s="107">
        <v>41.4</v>
      </c>
      <c r="G18" s="107">
        <v>41.4</v>
      </c>
      <c r="H18" s="107">
        <v>41.4</v>
      </c>
      <c r="I18" s="107">
        <v>41.4</v>
      </c>
      <c r="J18" s="107">
        <v>41.4</v>
      </c>
      <c r="K18" s="86">
        <v>41.4</v>
      </c>
      <c r="L18" s="84">
        <v>41.4</v>
      </c>
      <c r="M18" s="108">
        <v>48.41</v>
      </c>
      <c r="N18" s="86">
        <v>48.405000000000001</v>
      </c>
      <c r="O18" s="79">
        <v>48.405000000000001</v>
      </c>
      <c r="P18" s="79">
        <v>48.41</v>
      </c>
      <c r="Q18" s="79">
        <v>48.4</v>
      </c>
      <c r="R18" s="86">
        <v>48.405000000000001</v>
      </c>
      <c r="S18" s="86">
        <v>48.405000000000001</v>
      </c>
      <c r="T18" s="86">
        <v>48.405000000000001</v>
      </c>
      <c r="U18" s="108">
        <v>48.405000000000001</v>
      </c>
      <c r="V18" s="108">
        <v>48.405000000000001</v>
      </c>
      <c r="W18" s="108">
        <v>48.405000000000001</v>
      </c>
      <c r="X18" s="86">
        <f>(46747000+6658000)/1000000</f>
        <v>53.405000000000001</v>
      </c>
      <c r="Y18" s="86">
        <v>53.405000000000001</v>
      </c>
      <c r="Z18" s="86">
        <v>53.405000000000001</v>
      </c>
      <c r="AA18" s="86">
        <v>53.405000000000001</v>
      </c>
      <c r="AB18" s="86">
        <f>46.747+6.658</f>
        <v>53.405000000000001</v>
      </c>
      <c r="AC18" s="86">
        <v>53.405000000000001</v>
      </c>
      <c r="AD18" s="86">
        <v>53.405000000000001</v>
      </c>
      <c r="AE18" s="86">
        <v>53.405000000000001</v>
      </c>
      <c r="AF18" s="86">
        <v>53.405000000000001</v>
      </c>
      <c r="AG18" s="106">
        <v>53.405000000000001</v>
      </c>
      <c r="AH18" s="106">
        <v>53.405000000000001</v>
      </c>
      <c r="AI18" s="214">
        <v>53.405000000000001</v>
      </c>
      <c r="AJ18" s="214">
        <v>53.405000000000001</v>
      </c>
      <c r="AK18" s="214">
        <v>53.405000000000001</v>
      </c>
      <c r="AL18" s="173">
        <v>53.405000000000001</v>
      </c>
      <c r="AM18" s="79">
        <v>58.405000000000001</v>
      </c>
      <c r="AN18" s="79">
        <v>58.405000000000001</v>
      </c>
      <c r="AO18" s="79">
        <v>58.405000000000001</v>
      </c>
      <c r="AP18" s="79">
        <v>58.405000000000001</v>
      </c>
      <c r="AQ18" s="79">
        <v>58.405000000000001</v>
      </c>
      <c r="AR18" s="79">
        <v>58.405000000000001</v>
      </c>
      <c r="AS18" s="79">
        <v>58.405000000000001</v>
      </c>
      <c r="AT18" s="79">
        <v>58.405000000000001</v>
      </c>
      <c r="AU18" s="79">
        <v>58.405000000000001</v>
      </c>
      <c r="AV18" s="79">
        <v>63.405000000000001</v>
      </c>
      <c r="AW18" s="79">
        <v>63.405000000000001</v>
      </c>
      <c r="AX18" s="79">
        <f>56.747+6.658</f>
        <v>63.405000000000001</v>
      </c>
      <c r="AY18" s="79">
        <f>56.747+6.658</f>
        <v>63.405000000000001</v>
      </c>
      <c r="AZ18" s="79">
        <v>63.405000000000001</v>
      </c>
      <c r="BA18" s="79">
        <v>66.405000000000001</v>
      </c>
      <c r="BB18" s="107">
        <v>66.405000000000001</v>
      </c>
      <c r="BC18" s="203">
        <v>66.405000000000001</v>
      </c>
      <c r="BD18" s="203">
        <v>66.405000000000001</v>
      </c>
      <c r="BE18" s="203">
        <v>66.405000000000001</v>
      </c>
      <c r="BF18" s="203">
        <v>66.405000000000001</v>
      </c>
      <c r="BG18" s="203">
        <v>67.790000000000006</v>
      </c>
      <c r="BH18" s="203">
        <v>68.358000000000004</v>
      </c>
      <c r="BI18" s="203">
        <v>68.358000000000004</v>
      </c>
      <c r="BJ18" s="79">
        <v>68.45</v>
      </c>
      <c r="BK18" s="203">
        <v>68.45</v>
      </c>
      <c r="BL18" s="203">
        <v>68.45</v>
      </c>
      <c r="BM18" s="203">
        <v>68.45</v>
      </c>
      <c r="BN18" s="203">
        <v>68.45</v>
      </c>
      <c r="BO18" s="203">
        <v>68.45</v>
      </c>
      <c r="BP18" s="203">
        <v>68.45</v>
      </c>
      <c r="BQ18" s="113">
        <v>68.45</v>
      </c>
      <c r="BR18" s="113">
        <v>69.358999999999995</v>
      </c>
      <c r="BS18" s="113">
        <v>68.45</v>
      </c>
      <c r="BT18" s="113">
        <v>72.259</v>
      </c>
      <c r="BU18" s="113">
        <v>72.259</v>
      </c>
      <c r="BV18" s="113">
        <v>74.259</v>
      </c>
      <c r="BW18" s="236">
        <v>75.168000000000006</v>
      </c>
      <c r="BX18" s="236">
        <v>70.168000000000006</v>
      </c>
      <c r="BY18" s="236">
        <v>65.168000000000006</v>
      </c>
      <c r="BZ18" s="236">
        <v>58.167999999999999</v>
      </c>
      <c r="CA18" s="236">
        <v>63.167999999999999</v>
      </c>
      <c r="CB18" s="236">
        <v>63.167999999999999</v>
      </c>
      <c r="CC18" s="236">
        <v>78.168000000000006</v>
      </c>
      <c r="CD18" s="236">
        <v>78.168000000000006</v>
      </c>
      <c r="CE18" s="236">
        <v>68.168000000000006</v>
      </c>
      <c r="CF18" s="236">
        <v>83.168000000000006</v>
      </c>
      <c r="CG18" s="236">
        <v>83.168000000000006</v>
      </c>
      <c r="CH18" s="236">
        <v>83.168000000000006</v>
      </c>
      <c r="CI18" s="236">
        <v>83.168000000000006</v>
      </c>
      <c r="CJ18" s="236">
        <v>83.168000000000006</v>
      </c>
      <c r="CK18" s="236">
        <v>83.168000000000006</v>
      </c>
      <c r="DL18" s="18"/>
    </row>
    <row r="19" spans="1:116">
      <c r="A19" s="17" t="s">
        <v>102</v>
      </c>
      <c r="B19" s="162" t="s">
        <v>68</v>
      </c>
      <c r="C19" s="45" t="s">
        <v>102</v>
      </c>
      <c r="D19" s="107">
        <v>628.5</v>
      </c>
      <c r="E19" s="107">
        <v>632.79999999999995</v>
      </c>
      <c r="F19" s="107">
        <v>635.9</v>
      </c>
      <c r="G19" s="107">
        <v>635.9</v>
      </c>
      <c r="H19" s="107">
        <v>642.70000000000005</v>
      </c>
      <c r="I19" s="107">
        <v>646</v>
      </c>
      <c r="J19" s="107">
        <v>650.29999999999995</v>
      </c>
      <c r="K19" s="86">
        <v>654.9</v>
      </c>
      <c r="L19" s="84">
        <v>661.2</v>
      </c>
      <c r="M19" s="108">
        <v>665.21</v>
      </c>
      <c r="N19" s="86">
        <v>674.10900000000004</v>
      </c>
      <c r="O19" s="79">
        <v>680.00900000000001</v>
      </c>
      <c r="P19" s="79">
        <v>680.81</v>
      </c>
      <c r="Q19" s="79">
        <v>681.51</v>
      </c>
      <c r="R19" s="86">
        <v>682.10900000000004</v>
      </c>
      <c r="S19" s="86">
        <v>683.70899999999995</v>
      </c>
      <c r="T19" s="86">
        <v>685.50900000000001</v>
      </c>
      <c r="U19" s="108">
        <v>684.82899999999995</v>
      </c>
      <c r="V19" s="108">
        <v>688.85400000000004</v>
      </c>
      <c r="W19" s="108">
        <v>687.75400000000002</v>
      </c>
      <c r="X19" s="86">
        <f>(207261000+479251000+9691000+1000000)/1000000</f>
        <v>697.20299999999997</v>
      </c>
      <c r="Y19" s="86">
        <v>701.149</v>
      </c>
      <c r="Z19" s="86">
        <v>699.529</v>
      </c>
      <c r="AA19" s="86">
        <v>709.75</v>
      </c>
      <c r="AB19" s="86">
        <f>203.801+501.612+9.691+1</f>
        <v>716.10400000000004</v>
      </c>
      <c r="AC19" s="86">
        <v>720.303</v>
      </c>
      <c r="AD19" s="86">
        <v>717.40300000000002</v>
      </c>
      <c r="AE19" s="86">
        <v>720.40300000000002</v>
      </c>
      <c r="AF19" s="86">
        <v>723.84799999999996</v>
      </c>
      <c r="AG19" s="106">
        <v>727.91800000000001</v>
      </c>
      <c r="AH19" s="106">
        <v>727.91800000000001</v>
      </c>
      <c r="AI19" s="214">
        <v>724.97400000000005</v>
      </c>
      <c r="AJ19" s="214">
        <v>723.21400000000006</v>
      </c>
      <c r="AK19" s="214">
        <v>735.41399999999999</v>
      </c>
      <c r="AL19" s="173">
        <v>736.41399999999999</v>
      </c>
      <c r="AM19" s="79">
        <v>738.71400000000006</v>
      </c>
      <c r="AN19" s="79">
        <v>746.71400000000006</v>
      </c>
      <c r="AO19" s="79">
        <v>749.41399999999999</v>
      </c>
      <c r="AP19" s="79">
        <v>758.21400000000006</v>
      </c>
      <c r="AQ19" s="79">
        <v>757.21400000000006</v>
      </c>
      <c r="AR19" s="79">
        <v>756.71400000000006</v>
      </c>
      <c r="AS19" s="79">
        <v>760.21400000000006</v>
      </c>
      <c r="AT19" s="79">
        <v>766.11400000000003</v>
      </c>
      <c r="AU19" s="79">
        <v>770.71400000000006</v>
      </c>
      <c r="AV19" s="79">
        <v>777.51400000000001</v>
      </c>
      <c r="AW19" s="79">
        <v>781.21400000000006</v>
      </c>
      <c r="AX19" s="79">
        <f>170.857+604.11+9.247+1</f>
        <v>785.21399999999994</v>
      </c>
      <c r="AY19" s="79">
        <f>167.657+615.11+9.247+1</f>
        <v>793.01400000000001</v>
      </c>
      <c r="AZ19" s="79">
        <v>791.11400000000003</v>
      </c>
      <c r="BA19" s="79">
        <v>800.71400000000006</v>
      </c>
      <c r="BB19" s="107">
        <v>805.71400000000006</v>
      </c>
      <c r="BC19" s="203">
        <v>810.35649999999998</v>
      </c>
      <c r="BD19" s="203">
        <v>810.55650000000003</v>
      </c>
      <c r="BE19" s="203">
        <v>804.53650000000005</v>
      </c>
      <c r="BF19" s="203">
        <v>792.16650000000004</v>
      </c>
      <c r="BG19" s="203">
        <v>790.83950000000004</v>
      </c>
      <c r="BH19" s="203">
        <v>794.20050000000003</v>
      </c>
      <c r="BI19" s="203">
        <v>789.50049999999999</v>
      </c>
      <c r="BJ19" s="79">
        <v>804.50049999999999</v>
      </c>
      <c r="BK19" s="203">
        <v>814.86749999999995</v>
      </c>
      <c r="BL19" s="203">
        <v>822.66750000000002</v>
      </c>
      <c r="BM19" s="203">
        <v>837.58450000000005</v>
      </c>
      <c r="BN19" s="203">
        <v>845.48450000000003</v>
      </c>
      <c r="BO19" s="203">
        <v>845.48450000000003</v>
      </c>
      <c r="BP19" s="203">
        <v>847.94849999999997</v>
      </c>
      <c r="BQ19" s="113">
        <v>858.76750000000004</v>
      </c>
      <c r="BR19" s="113">
        <v>854.99749999999995</v>
      </c>
      <c r="BS19" s="113">
        <v>864.09749999999997</v>
      </c>
      <c r="BT19" s="113">
        <v>870.00549999999998</v>
      </c>
      <c r="BU19" s="113">
        <v>869.90549999999996</v>
      </c>
      <c r="BV19" s="113">
        <v>881.87549999999999</v>
      </c>
      <c r="BW19" s="236">
        <v>883.77549999999997</v>
      </c>
      <c r="BX19" s="236">
        <v>881.37549999999999</v>
      </c>
      <c r="BY19" s="238">
        <v>892.97550000000001</v>
      </c>
      <c r="BZ19" s="236">
        <v>899.37549999999999</v>
      </c>
      <c r="CA19" s="236">
        <v>919.17550000000006</v>
      </c>
      <c r="CB19" s="236">
        <v>923.57550000000003</v>
      </c>
      <c r="CC19" s="236">
        <v>924.57550000000003</v>
      </c>
      <c r="CD19" s="236">
        <v>926.17550000000006</v>
      </c>
      <c r="CE19" s="236">
        <v>928.47550000000001</v>
      </c>
      <c r="CF19" s="236">
        <v>930.32550000000003</v>
      </c>
      <c r="CG19" s="236">
        <v>941.32550000000003</v>
      </c>
      <c r="CH19" s="236">
        <v>942.22550000000001</v>
      </c>
      <c r="CI19" s="236">
        <v>937.92550000000006</v>
      </c>
      <c r="CJ19" s="236">
        <v>952.92550000000006</v>
      </c>
      <c r="CK19" s="236">
        <v>960.42550000000006</v>
      </c>
      <c r="DL19" s="18"/>
    </row>
    <row r="20" spans="1:116">
      <c r="A20" s="17" t="s">
        <v>103</v>
      </c>
      <c r="B20" s="162" t="s">
        <v>28</v>
      </c>
      <c r="C20" s="45" t="s">
        <v>103</v>
      </c>
      <c r="D20" s="107">
        <v>119.3</v>
      </c>
      <c r="E20" s="107">
        <v>119.3</v>
      </c>
      <c r="F20" s="107">
        <v>124.2</v>
      </c>
      <c r="G20" s="107">
        <v>134.19999999999999</v>
      </c>
      <c r="H20" s="107">
        <v>129.1</v>
      </c>
      <c r="I20" s="107">
        <v>112.1</v>
      </c>
      <c r="J20" s="107">
        <v>110.2</v>
      </c>
      <c r="K20" s="86">
        <v>110.2</v>
      </c>
      <c r="L20" s="84">
        <v>110.1</v>
      </c>
      <c r="M20" s="108">
        <v>110.1</v>
      </c>
      <c r="N20" s="86">
        <v>110.095</v>
      </c>
      <c r="O20" s="79">
        <v>110.095</v>
      </c>
      <c r="P20" s="79">
        <v>110.1</v>
      </c>
      <c r="Q20" s="79">
        <v>110.1</v>
      </c>
      <c r="R20" s="86">
        <v>110.095</v>
      </c>
      <c r="S20" s="86">
        <v>110.095</v>
      </c>
      <c r="T20" s="86">
        <v>103.09499999999917</v>
      </c>
      <c r="U20" s="108">
        <v>103.095</v>
      </c>
      <c r="V20" s="108">
        <v>102.995</v>
      </c>
      <c r="W20" s="108">
        <v>102.895</v>
      </c>
      <c r="X20" s="86">
        <f>(10680000+74303000+16442000+400000)/1000000</f>
        <v>101.825</v>
      </c>
      <c r="Y20" s="86">
        <v>101.825</v>
      </c>
      <c r="Z20" s="86">
        <v>101.82500000000002</v>
      </c>
      <c r="AA20" s="86">
        <v>89.725000000000023</v>
      </c>
      <c r="AB20" s="86">
        <f>10.68+62.203+16.442+0.4</f>
        <v>89.725000000000023</v>
      </c>
      <c r="AC20" s="86">
        <v>89.725000000000023</v>
      </c>
      <c r="AD20" s="86">
        <v>80.425000000000011</v>
      </c>
      <c r="AE20" s="86">
        <v>80.425000000000011</v>
      </c>
      <c r="AF20" s="86">
        <v>77.924999999999997</v>
      </c>
      <c r="AG20" s="106">
        <v>98.724999999999994</v>
      </c>
      <c r="AH20" s="106">
        <v>98.724999999999994</v>
      </c>
      <c r="AI20" s="214">
        <v>98.724999999999994</v>
      </c>
      <c r="AJ20" s="214">
        <v>98.724999999999994</v>
      </c>
      <c r="AK20" s="214">
        <v>98.724999999999994</v>
      </c>
      <c r="AL20" s="173">
        <v>98.724999999999994</v>
      </c>
      <c r="AM20" s="79">
        <v>118.72499999999999</v>
      </c>
      <c r="AN20" s="79">
        <v>118.72499999999999</v>
      </c>
      <c r="AO20" s="79">
        <v>133.72499999999999</v>
      </c>
      <c r="AP20" s="79">
        <v>133.72499999999999</v>
      </c>
      <c r="AQ20" s="79">
        <v>133.72499999999999</v>
      </c>
      <c r="AR20" s="79">
        <v>148.72499999999999</v>
      </c>
      <c r="AS20" s="79">
        <v>203.72499999999999</v>
      </c>
      <c r="AT20" s="79">
        <v>203.72499999999999</v>
      </c>
      <c r="AU20" s="79">
        <v>203.72499999999999</v>
      </c>
      <c r="AV20" s="79">
        <v>213.625</v>
      </c>
      <c r="AW20" s="79">
        <v>223.625</v>
      </c>
      <c r="AX20" s="79">
        <f>8.98+197.423+16.442+0.4</f>
        <v>223.245</v>
      </c>
      <c r="AY20" s="79">
        <f>8.98+196.423+16.442+0.4</f>
        <v>222.245</v>
      </c>
      <c r="AZ20" s="79">
        <v>222.245</v>
      </c>
      <c r="BA20" s="79">
        <v>222.245</v>
      </c>
      <c r="BB20" s="107">
        <v>220.35</v>
      </c>
      <c r="BC20" s="203">
        <v>190.35</v>
      </c>
      <c r="BD20" s="203">
        <v>190.35</v>
      </c>
      <c r="BE20" s="203">
        <v>188.15</v>
      </c>
      <c r="BF20" s="203">
        <v>188.15</v>
      </c>
      <c r="BG20" s="203">
        <v>208.35</v>
      </c>
      <c r="BH20" s="203">
        <v>224.756</v>
      </c>
      <c r="BI20" s="203">
        <v>224.756</v>
      </c>
      <c r="BJ20" s="79">
        <v>223.989</v>
      </c>
      <c r="BK20" s="203">
        <v>223.989</v>
      </c>
      <c r="BL20" s="203">
        <v>223.989</v>
      </c>
      <c r="BM20" s="203">
        <v>228.989</v>
      </c>
      <c r="BN20" s="203">
        <v>228.989</v>
      </c>
      <c r="BO20" s="203">
        <v>233.989</v>
      </c>
      <c r="BP20" s="203">
        <v>239.989</v>
      </c>
      <c r="BQ20" s="113">
        <v>259.589</v>
      </c>
      <c r="BR20" s="113">
        <v>259.589</v>
      </c>
      <c r="BS20" s="113">
        <v>279.78899999999999</v>
      </c>
      <c r="BT20" s="113">
        <v>279.78899999999999</v>
      </c>
      <c r="BU20" s="113">
        <v>284.78899999999999</v>
      </c>
      <c r="BV20" s="113">
        <v>283.56299999999999</v>
      </c>
      <c r="BW20" s="236">
        <v>283.56299999999999</v>
      </c>
      <c r="BX20" s="236">
        <v>283.56299999999999</v>
      </c>
      <c r="BY20" s="236">
        <v>288.56299999999999</v>
      </c>
      <c r="BZ20" s="236">
        <v>293.56299999999999</v>
      </c>
      <c r="CA20" s="236">
        <v>283.56299999999999</v>
      </c>
      <c r="CB20" s="236">
        <v>283.56299999999999</v>
      </c>
      <c r="CC20" s="236">
        <v>283.56299999999999</v>
      </c>
      <c r="CD20" s="236">
        <v>283.56299999999999</v>
      </c>
      <c r="CE20" s="236">
        <v>283.56299999999999</v>
      </c>
      <c r="CF20" s="236">
        <v>293.56299999999999</v>
      </c>
      <c r="CG20" s="236">
        <v>293.56299999999999</v>
      </c>
      <c r="CH20" s="236">
        <v>293.56299999999999</v>
      </c>
      <c r="CI20" s="236">
        <v>293.56299999999999</v>
      </c>
      <c r="CJ20" s="236">
        <v>293.56299999999999</v>
      </c>
      <c r="CK20" s="236">
        <v>293.56299999999999</v>
      </c>
      <c r="DL20" s="18"/>
    </row>
    <row r="21" spans="1:116">
      <c r="A21" s="17" t="s">
        <v>104</v>
      </c>
      <c r="B21" s="162" t="s">
        <v>69</v>
      </c>
      <c r="C21" s="45" t="s">
        <v>104</v>
      </c>
      <c r="D21" s="107">
        <v>75.599999999999994</v>
      </c>
      <c r="E21" s="107">
        <v>75.599999999999994</v>
      </c>
      <c r="F21" s="107">
        <v>75.599999999999994</v>
      </c>
      <c r="G21" s="107">
        <v>75.7</v>
      </c>
      <c r="H21" s="107">
        <v>76</v>
      </c>
      <c r="I21" s="107">
        <v>75.8</v>
      </c>
      <c r="J21" s="107">
        <v>75.7</v>
      </c>
      <c r="K21" s="86">
        <v>75.3</v>
      </c>
      <c r="L21" s="84">
        <v>75.5</v>
      </c>
      <c r="M21" s="108">
        <v>75.47</v>
      </c>
      <c r="N21" s="86">
        <v>75.427000000000007</v>
      </c>
      <c r="O21" s="79">
        <v>75.468000000000004</v>
      </c>
      <c r="P21" s="79">
        <v>72.319999999999993</v>
      </c>
      <c r="Q21" s="79">
        <v>66.33</v>
      </c>
      <c r="R21" s="79">
        <v>60.937999999999995</v>
      </c>
      <c r="S21" s="86">
        <v>61.197000000000003</v>
      </c>
      <c r="T21" s="86">
        <v>61.457000000000001</v>
      </c>
      <c r="U21" s="108">
        <v>60.222999999999999</v>
      </c>
      <c r="V21" s="108">
        <v>59.424999999999997</v>
      </c>
      <c r="W21" s="108">
        <v>59.476999999999997</v>
      </c>
      <c r="X21" s="86">
        <f>(53313000+400000+5919000)/1000000</f>
        <v>59.631999999999998</v>
      </c>
      <c r="Y21" s="86">
        <v>59.750999999999998</v>
      </c>
      <c r="Z21" s="86">
        <v>59.783000000000001</v>
      </c>
      <c r="AA21" s="86">
        <v>59.954000000000001</v>
      </c>
      <c r="AB21" s="86">
        <f>53.313+0.4+6.338</f>
        <v>60.051000000000002</v>
      </c>
      <c r="AC21" s="86">
        <v>60.158000000000001</v>
      </c>
      <c r="AD21" s="86">
        <v>110.21900000000001</v>
      </c>
      <c r="AE21" s="86">
        <v>210.245</v>
      </c>
      <c r="AF21" s="86">
        <v>305.863</v>
      </c>
      <c r="AG21" s="106">
        <v>360.12</v>
      </c>
      <c r="AH21" s="106">
        <v>360.12</v>
      </c>
      <c r="AI21" s="214">
        <v>360.28899999999999</v>
      </c>
      <c r="AJ21" s="214">
        <v>360.34100000000001</v>
      </c>
      <c r="AK21" s="214">
        <v>360.34100000000001</v>
      </c>
      <c r="AL21" s="173">
        <v>360.36</v>
      </c>
      <c r="AM21" s="79">
        <v>360.36</v>
      </c>
      <c r="AN21" s="79">
        <v>360.43900000000002</v>
      </c>
      <c r="AO21" s="79">
        <v>360.81</v>
      </c>
      <c r="AP21" s="79">
        <v>360.86700000000002</v>
      </c>
      <c r="AQ21" s="79">
        <v>360.98200000000003</v>
      </c>
      <c r="AR21" s="79">
        <v>360.99200000000002</v>
      </c>
      <c r="AS21" s="79">
        <v>360.7</v>
      </c>
      <c r="AT21" s="79">
        <v>360.76799999999997</v>
      </c>
      <c r="AU21" s="79">
        <v>410.755</v>
      </c>
      <c r="AV21" s="79">
        <v>475.79</v>
      </c>
      <c r="AW21" s="79">
        <v>575.91099999999994</v>
      </c>
      <c r="AX21" s="79">
        <f>53.263+530+0.4+50+7.259</f>
        <v>640.92200000000003</v>
      </c>
      <c r="AY21" s="79">
        <f>36.763+580+0.4+50+7.301</f>
        <v>674.46400000000006</v>
      </c>
      <c r="AZ21" s="79">
        <v>684.57399999999996</v>
      </c>
      <c r="BA21" s="79">
        <v>694.803</v>
      </c>
      <c r="BB21" s="107">
        <v>694.84199999999998</v>
      </c>
      <c r="BC21" s="203">
        <v>695.00800000000004</v>
      </c>
      <c r="BD21" s="203">
        <v>695.15499999999997</v>
      </c>
      <c r="BE21" s="203">
        <v>694.80799999999999</v>
      </c>
      <c r="BF21" s="203">
        <v>694.83900000000006</v>
      </c>
      <c r="BG21" s="203">
        <v>694.88</v>
      </c>
      <c r="BH21" s="203">
        <v>695.3</v>
      </c>
      <c r="BI21" s="203">
        <v>695.54200000000003</v>
      </c>
      <c r="BJ21" s="79">
        <v>695.56200000000001</v>
      </c>
      <c r="BK21" s="203">
        <v>695.56200000000001</v>
      </c>
      <c r="BL21" s="203">
        <v>695.18399999999997</v>
      </c>
      <c r="BM21" s="203">
        <v>695.18399999999997</v>
      </c>
      <c r="BN21" s="203">
        <v>695.45500000000004</v>
      </c>
      <c r="BO21" s="203">
        <v>695.56899999999996</v>
      </c>
      <c r="BP21" s="203">
        <v>695.77800000000002</v>
      </c>
      <c r="BQ21" s="113">
        <v>694.29600000000005</v>
      </c>
      <c r="BR21" s="113">
        <v>694.29600000000005</v>
      </c>
      <c r="BS21" s="113">
        <v>694.44</v>
      </c>
      <c r="BT21" s="113">
        <v>694.55</v>
      </c>
      <c r="BU21" s="113">
        <v>694.65300000000002</v>
      </c>
      <c r="BV21" s="113">
        <v>733.34299999999996</v>
      </c>
      <c r="BW21" s="236">
        <v>728.68899999999996</v>
      </c>
      <c r="BX21" s="236">
        <v>725.19399999999996</v>
      </c>
      <c r="BY21" s="238">
        <v>719.02499999999998</v>
      </c>
      <c r="BZ21" s="236">
        <v>711.15200000000004</v>
      </c>
      <c r="CA21" s="236">
        <v>711.23900000000003</v>
      </c>
      <c r="CB21" s="236">
        <v>711.49699999999996</v>
      </c>
      <c r="CC21" s="236">
        <v>710.40300000000002</v>
      </c>
      <c r="CD21" s="236">
        <v>710.45</v>
      </c>
      <c r="CE21" s="236">
        <v>710.91099999999994</v>
      </c>
      <c r="CF21" s="236">
        <v>711.31799999999998</v>
      </c>
      <c r="CG21" s="236">
        <v>711.35599999999999</v>
      </c>
      <c r="CH21" s="236">
        <v>711.76700000000005</v>
      </c>
      <c r="CI21" s="236">
        <v>711.87300000000005</v>
      </c>
      <c r="CJ21" s="236">
        <v>711.55200000000002</v>
      </c>
      <c r="CK21" s="236">
        <v>711.61500000000001</v>
      </c>
      <c r="DL21" s="18"/>
    </row>
    <row r="22" spans="1:116">
      <c r="A22" s="17" t="s">
        <v>105</v>
      </c>
      <c r="B22" s="162" t="s">
        <v>70</v>
      </c>
      <c r="C22" s="45" t="s">
        <v>105</v>
      </c>
      <c r="D22" s="107">
        <v>29.8</v>
      </c>
      <c r="E22" s="107">
        <v>29.8</v>
      </c>
      <c r="F22" s="107">
        <v>29.9</v>
      </c>
      <c r="G22" s="107">
        <v>29.9</v>
      </c>
      <c r="H22" s="107">
        <v>29.1</v>
      </c>
      <c r="I22" s="107">
        <v>28.3</v>
      </c>
      <c r="J22" s="107">
        <v>28.4</v>
      </c>
      <c r="K22" s="86">
        <v>28.3</v>
      </c>
      <c r="L22" s="84">
        <v>27.2</v>
      </c>
      <c r="M22" s="108">
        <v>27.22</v>
      </c>
      <c r="N22" s="86">
        <v>27.239000000000001</v>
      </c>
      <c r="O22" s="79">
        <v>24.138999999999999</v>
      </c>
      <c r="P22" s="79">
        <v>24.14</v>
      </c>
      <c r="Q22" s="79">
        <v>24.34</v>
      </c>
      <c r="R22" s="86">
        <v>23.739000000000001</v>
      </c>
      <c r="S22" s="86">
        <v>23.739000000000001</v>
      </c>
      <c r="T22" s="86">
        <v>23.739000000000001</v>
      </c>
      <c r="U22" s="108">
        <v>23.739000000000001</v>
      </c>
      <c r="V22" s="108">
        <v>23.739000000000001</v>
      </c>
      <c r="W22" s="108">
        <v>23.638999999999999</v>
      </c>
      <c r="X22" s="86">
        <f>(6615000+13823000+3071000)/1000000</f>
        <v>23.509</v>
      </c>
      <c r="Y22" s="86">
        <v>22.309000000000001</v>
      </c>
      <c r="Z22" s="86">
        <v>22.309000000000001</v>
      </c>
      <c r="AA22" s="86">
        <v>22.109000000000002</v>
      </c>
      <c r="AB22" s="86">
        <f>6.615+12.223+3.271</f>
        <v>22.109000000000002</v>
      </c>
      <c r="AC22" s="86">
        <v>22.109000000000002</v>
      </c>
      <c r="AD22" s="86">
        <v>21.497</v>
      </c>
      <c r="AE22" s="86">
        <v>21.497</v>
      </c>
      <c r="AF22" s="86">
        <v>21.497</v>
      </c>
      <c r="AG22" s="106">
        <v>20.777000000000001</v>
      </c>
      <c r="AH22" s="106">
        <v>20.777000000000001</v>
      </c>
      <c r="AI22" s="214">
        <v>22.777000000000001</v>
      </c>
      <c r="AJ22" s="214">
        <v>21.907</v>
      </c>
      <c r="AK22" s="214">
        <v>23.707000000000001</v>
      </c>
      <c r="AL22" s="173">
        <v>23.707000000000001</v>
      </c>
      <c r="AM22" s="79">
        <v>23.707000000000001</v>
      </c>
      <c r="AN22" s="79">
        <v>23.707000000000001</v>
      </c>
      <c r="AO22" s="79">
        <v>23.707000000000001</v>
      </c>
      <c r="AP22" s="79">
        <v>23.606999999999999</v>
      </c>
      <c r="AQ22" s="79">
        <v>23.606999999999999</v>
      </c>
      <c r="AR22" s="79">
        <v>23.806999999999999</v>
      </c>
      <c r="AS22" s="79">
        <v>22.507000000000001</v>
      </c>
      <c r="AT22" s="79">
        <v>21.407</v>
      </c>
      <c r="AU22" s="79">
        <v>21.806999999999999</v>
      </c>
      <c r="AV22" s="79">
        <v>24.407</v>
      </c>
      <c r="AW22" s="79">
        <v>24.207000000000001</v>
      </c>
      <c r="AX22" s="79">
        <f>4.025+17.111+3.471</f>
        <v>24.607000000000003</v>
      </c>
      <c r="AY22" s="79">
        <f>2.025+17.011+3.471</f>
        <v>22.506999999999998</v>
      </c>
      <c r="AZ22" s="79">
        <v>22.407</v>
      </c>
      <c r="BA22" s="79">
        <v>21.306999999999999</v>
      </c>
      <c r="BB22" s="107">
        <v>21.207000000000001</v>
      </c>
      <c r="BC22" s="203">
        <v>21.207000000000001</v>
      </c>
      <c r="BD22" s="203">
        <v>21.106999999999999</v>
      </c>
      <c r="BE22" s="203">
        <v>20.907</v>
      </c>
      <c r="BF22" s="203">
        <v>20.907</v>
      </c>
      <c r="BG22" s="203">
        <v>21.016999999999999</v>
      </c>
      <c r="BH22" s="203">
        <v>21.016999999999999</v>
      </c>
      <c r="BI22" s="203">
        <v>21.457000000000001</v>
      </c>
      <c r="BJ22" s="79">
        <v>21.457000000000001</v>
      </c>
      <c r="BK22" s="203">
        <v>21.457000000000001</v>
      </c>
      <c r="BL22" s="203">
        <v>21.457000000000001</v>
      </c>
      <c r="BM22" s="203">
        <v>21.457000000000001</v>
      </c>
      <c r="BN22" s="203">
        <v>21.786999999999999</v>
      </c>
      <c r="BO22" s="203">
        <v>21.457000000000001</v>
      </c>
      <c r="BP22" s="203">
        <v>21.356999999999999</v>
      </c>
      <c r="BQ22" s="113">
        <v>19.939</v>
      </c>
      <c r="BR22" s="113">
        <v>19.312999999999999</v>
      </c>
      <c r="BS22" s="113">
        <v>20.039000000000001</v>
      </c>
      <c r="BT22" s="113">
        <v>19.939</v>
      </c>
      <c r="BU22" s="113">
        <v>19.838999999999999</v>
      </c>
      <c r="BV22" s="113">
        <v>20.039000000000001</v>
      </c>
      <c r="BW22" s="236">
        <v>20.739000000000001</v>
      </c>
      <c r="BX22" s="236">
        <v>20.638999999999999</v>
      </c>
      <c r="BY22" s="236">
        <v>20.638999999999999</v>
      </c>
      <c r="BZ22" s="236">
        <v>20.039000000000001</v>
      </c>
      <c r="CA22" s="236">
        <v>20.039000000000001</v>
      </c>
      <c r="CB22" s="236">
        <v>20.039000000000001</v>
      </c>
      <c r="CC22" s="236">
        <v>19.768999999999998</v>
      </c>
      <c r="CD22" s="236">
        <v>19.768999999999998</v>
      </c>
      <c r="CE22" s="236">
        <v>19.744</v>
      </c>
      <c r="CF22" s="236">
        <v>20.143999999999998</v>
      </c>
      <c r="CG22" s="236">
        <v>20.344000000000001</v>
      </c>
      <c r="CH22" s="236">
        <v>20.344000000000001</v>
      </c>
      <c r="CI22" s="236">
        <v>20.344000000000001</v>
      </c>
      <c r="CJ22" s="236">
        <v>20.143999999999998</v>
      </c>
      <c r="CK22" s="236">
        <v>20.143999999999998</v>
      </c>
      <c r="DL22" s="18"/>
    </row>
    <row r="23" spans="1:116">
      <c r="A23" s="17" t="s">
        <v>106</v>
      </c>
      <c r="B23" s="162" t="s">
        <v>71</v>
      </c>
      <c r="C23" s="45" t="s">
        <v>106</v>
      </c>
      <c r="D23" s="107">
        <v>24.7</v>
      </c>
      <c r="E23" s="107">
        <v>24.7</v>
      </c>
      <c r="F23" s="107">
        <v>24.7</v>
      </c>
      <c r="G23" s="107">
        <v>24.7</v>
      </c>
      <c r="H23" s="107">
        <v>24.7</v>
      </c>
      <c r="I23" s="107">
        <v>24.7</v>
      </c>
      <c r="J23" s="107">
        <v>25.7</v>
      </c>
      <c r="K23" s="86">
        <v>26.7</v>
      </c>
      <c r="L23" s="84">
        <v>28.4</v>
      </c>
      <c r="M23" s="108">
        <v>29.53</v>
      </c>
      <c r="N23" s="86">
        <v>26.033000000000001</v>
      </c>
      <c r="O23" s="79">
        <v>26.033000000000001</v>
      </c>
      <c r="P23" s="79">
        <v>26.03</v>
      </c>
      <c r="Q23" s="79">
        <v>26.03</v>
      </c>
      <c r="R23" s="86">
        <v>26.032999999999998</v>
      </c>
      <c r="S23" s="86">
        <v>26.033000000000001</v>
      </c>
      <c r="T23" s="86">
        <v>26.033000000000001</v>
      </c>
      <c r="U23" s="108">
        <v>26.033000000000001</v>
      </c>
      <c r="V23" s="108">
        <v>26.033000000000001</v>
      </c>
      <c r="W23" s="108">
        <v>25.533000000000001</v>
      </c>
      <c r="X23" s="86">
        <f>(12600000+10783000+750000+1400000)/1000000</f>
        <v>25.533000000000001</v>
      </c>
      <c r="Y23" s="86">
        <v>19.332999999999998</v>
      </c>
      <c r="Z23" s="86">
        <v>19.332999999999998</v>
      </c>
      <c r="AA23" s="86">
        <v>19.533000000000001</v>
      </c>
      <c r="AB23" s="86">
        <f>6.4+10.783+0.75+1.6</f>
        <v>19.533000000000001</v>
      </c>
      <c r="AC23" s="86">
        <v>20.338000000000001</v>
      </c>
      <c r="AD23" s="86">
        <v>20.338000000000001</v>
      </c>
      <c r="AE23" s="86">
        <v>20.338000000000001</v>
      </c>
      <c r="AF23" s="86">
        <v>20.038</v>
      </c>
      <c r="AG23" s="106">
        <v>22.738</v>
      </c>
      <c r="AH23" s="106">
        <v>22.738</v>
      </c>
      <c r="AI23" s="214">
        <v>21.238</v>
      </c>
      <c r="AJ23" s="214">
        <v>18.638000000000002</v>
      </c>
      <c r="AK23" s="214">
        <v>18.638000000000002</v>
      </c>
      <c r="AL23" s="173">
        <v>18.638000000000002</v>
      </c>
      <c r="AM23" s="79">
        <v>18.638000000000002</v>
      </c>
      <c r="AN23" s="79">
        <v>18.638000000000002</v>
      </c>
      <c r="AO23" s="79">
        <v>18.638000000000002</v>
      </c>
      <c r="AP23" s="79">
        <v>18.638000000000002</v>
      </c>
      <c r="AQ23" s="79">
        <v>18.638000000000002</v>
      </c>
      <c r="AR23" s="79">
        <v>18.638000000000002</v>
      </c>
      <c r="AS23" s="79">
        <v>18.638000000000002</v>
      </c>
      <c r="AT23" s="79">
        <v>18.638000000000002</v>
      </c>
      <c r="AU23" s="79">
        <v>18.538</v>
      </c>
      <c r="AV23" s="79">
        <v>22.538</v>
      </c>
      <c r="AW23" s="79">
        <v>22.538</v>
      </c>
      <c r="AX23" s="79">
        <f>4+2.7+13.488+0.75+1.6</f>
        <v>22.538</v>
      </c>
      <c r="AY23" s="79">
        <f>4+2.7+13.488+0.75+1.6</f>
        <v>22.538</v>
      </c>
      <c r="AZ23" s="79">
        <v>18.538</v>
      </c>
      <c r="BA23" s="79">
        <v>18.538</v>
      </c>
      <c r="BB23" s="107">
        <v>18.538</v>
      </c>
      <c r="BC23" s="203">
        <v>22.538</v>
      </c>
      <c r="BD23" s="203">
        <v>17.617999999999999</v>
      </c>
      <c r="BE23" s="203">
        <v>17.138000000000002</v>
      </c>
      <c r="BF23" s="203">
        <v>17.038</v>
      </c>
      <c r="BG23" s="203">
        <v>16.937999999999999</v>
      </c>
      <c r="BH23" s="203">
        <v>16.937999999999999</v>
      </c>
      <c r="BI23" s="203">
        <v>16.437999999999999</v>
      </c>
      <c r="BJ23" s="79">
        <v>16.437999999999999</v>
      </c>
      <c r="BK23" s="203">
        <v>16.437999999999999</v>
      </c>
      <c r="BL23" s="203">
        <v>16.437999999999999</v>
      </c>
      <c r="BM23" s="203">
        <v>16.437999999999999</v>
      </c>
      <c r="BN23" s="203">
        <v>16.437999999999999</v>
      </c>
      <c r="BO23" s="203">
        <v>16.437999999999999</v>
      </c>
      <c r="BP23" s="203">
        <v>16.437999999999999</v>
      </c>
      <c r="BQ23" s="113">
        <v>20.238</v>
      </c>
      <c r="BR23" s="113">
        <v>20.238</v>
      </c>
      <c r="BS23" s="113">
        <v>20.138000000000002</v>
      </c>
      <c r="BT23" s="113">
        <v>20.138000000000002</v>
      </c>
      <c r="BU23" s="113">
        <v>20.138000000000002</v>
      </c>
      <c r="BV23" s="113">
        <v>20.138000000000002</v>
      </c>
      <c r="BW23" s="236">
        <v>24.138000000000002</v>
      </c>
      <c r="BX23" s="236">
        <v>24.138000000000002</v>
      </c>
      <c r="BY23" s="236">
        <v>24.138000000000002</v>
      </c>
      <c r="BZ23" s="236">
        <v>24.138000000000002</v>
      </c>
      <c r="CA23" s="236">
        <v>24.138000000000002</v>
      </c>
      <c r="CB23" s="236">
        <v>24.138000000000002</v>
      </c>
      <c r="CC23" s="236">
        <v>23.937999999999999</v>
      </c>
      <c r="CD23" s="236">
        <v>23.937999999999999</v>
      </c>
      <c r="CE23" s="236">
        <v>23.937999999999999</v>
      </c>
      <c r="CF23" s="236">
        <v>23.937999999999999</v>
      </c>
      <c r="CG23" s="236">
        <v>23.937999999999999</v>
      </c>
      <c r="CH23" s="236">
        <v>23.437999999999999</v>
      </c>
      <c r="CI23" s="236">
        <v>23.437999999999999</v>
      </c>
      <c r="CJ23" s="236">
        <v>23.437999999999999</v>
      </c>
      <c r="CK23" s="236">
        <v>23.437999999999999</v>
      </c>
      <c r="DL23" s="18"/>
    </row>
    <row r="24" spans="1:116">
      <c r="A24" s="17" t="s">
        <v>107</v>
      </c>
      <c r="B24" s="162" t="s">
        <v>72</v>
      </c>
      <c r="C24" s="45" t="s">
        <v>107</v>
      </c>
      <c r="D24" s="107">
        <v>9.3000000000000007</v>
      </c>
      <c r="E24" s="107">
        <v>9.3000000000000007</v>
      </c>
      <c r="F24" s="107">
        <v>9.3000000000000007</v>
      </c>
      <c r="G24" s="107">
        <v>9.3000000000000007</v>
      </c>
      <c r="H24" s="107">
        <v>9.6</v>
      </c>
      <c r="I24" s="107">
        <v>9.6</v>
      </c>
      <c r="J24" s="107">
        <v>9.6</v>
      </c>
      <c r="K24" s="86">
        <v>9.6</v>
      </c>
      <c r="L24" s="84">
        <v>9.6</v>
      </c>
      <c r="M24" s="108">
        <v>8.5500000000000007</v>
      </c>
      <c r="N24" s="86">
        <v>5.55</v>
      </c>
      <c r="O24" s="79">
        <v>5.55</v>
      </c>
      <c r="P24" s="79">
        <v>5.55</v>
      </c>
      <c r="Q24" s="79">
        <v>5.55</v>
      </c>
      <c r="R24" s="86">
        <v>5.55</v>
      </c>
      <c r="S24" s="86">
        <v>5.55</v>
      </c>
      <c r="T24" s="86">
        <v>5.55</v>
      </c>
      <c r="U24" s="108">
        <v>5.55</v>
      </c>
      <c r="V24" s="108">
        <v>5.55</v>
      </c>
      <c r="W24" s="108">
        <v>5.55</v>
      </c>
      <c r="X24" s="86">
        <f>(1000000+4450000+100000)/1000000</f>
        <v>5.55</v>
      </c>
      <c r="Y24" s="86">
        <v>5.55</v>
      </c>
      <c r="Z24" s="86">
        <v>5.55</v>
      </c>
      <c r="AA24" s="86">
        <v>5.55</v>
      </c>
      <c r="AB24" s="86">
        <f>1+4.45+0.1</f>
        <v>5.55</v>
      </c>
      <c r="AC24" s="86">
        <v>5.05</v>
      </c>
      <c r="AD24" s="86">
        <v>5.05</v>
      </c>
      <c r="AE24" s="86">
        <v>5.05</v>
      </c>
      <c r="AF24" s="86">
        <v>5.05</v>
      </c>
      <c r="AG24" s="106">
        <v>5.05</v>
      </c>
      <c r="AH24" s="106">
        <v>5.05</v>
      </c>
      <c r="AI24" s="214">
        <v>5.05</v>
      </c>
      <c r="AJ24" s="214">
        <v>5.05</v>
      </c>
      <c r="AK24" s="214">
        <v>5.05</v>
      </c>
      <c r="AL24" s="173">
        <v>5.05</v>
      </c>
      <c r="AM24" s="79">
        <v>5.05</v>
      </c>
      <c r="AN24" s="79">
        <v>5.05</v>
      </c>
      <c r="AO24" s="79">
        <v>5.05</v>
      </c>
      <c r="AP24" s="79">
        <v>5.05</v>
      </c>
      <c r="AQ24" s="79">
        <v>5.05</v>
      </c>
      <c r="AR24" s="79">
        <v>5.05</v>
      </c>
      <c r="AS24" s="79">
        <v>5.05</v>
      </c>
      <c r="AT24" s="79">
        <v>5.05</v>
      </c>
      <c r="AU24" s="79">
        <v>5.05</v>
      </c>
      <c r="AV24" s="79">
        <v>5.05</v>
      </c>
      <c r="AW24" s="79">
        <v>5.05</v>
      </c>
      <c r="AX24" s="79">
        <f>0.5+4.45+0.1</f>
        <v>5.05</v>
      </c>
      <c r="AY24" s="79">
        <f>0.5+4.45+0.1</f>
        <v>5.05</v>
      </c>
      <c r="AZ24" s="79">
        <v>5.05</v>
      </c>
      <c r="BA24" s="79">
        <v>5.05</v>
      </c>
      <c r="BB24" s="107">
        <v>5.05</v>
      </c>
      <c r="BC24" s="203">
        <v>5.05</v>
      </c>
      <c r="BD24" s="203">
        <v>5.05</v>
      </c>
      <c r="BE24" s="203">
        <v>4.95</v>
      </c>
      <c r="BF24" s="203">
        <v>4.95</v>
      </c>
      <c r="BG24" s="203">
        <v>4.95</v>
      </c>
      <c r="BH24" s="203">
        <v>4.95</v>
      </c>
      <c r="BI24" s="203">
        <v>4.95</v>
      </c>
      <c r="BJ24" s="79">
        <v>2.95</v>
      </c>
      <c r="BK24" s="203">
        <v>2.95</v>
      </c>
      <c r="BL24" s="203">
        <v>2.95</v>
      </c>
      <c r="BM24" s="203">
        <v>2.0499999999999998</v>
      </c>
      <c r="BN24" s="203">
        <v>2.0499999999999998</v>
      </c>
      <c r="BO24" s="203">
        <v>2.0499999999999998</v>
      </c>
      <c r="BP24" s="203">
        <v>0.8</v>
      </c>
      <c r="BQ24" s="113">
        <v>0.8</v>
      </c>
      <c r="BR24" s="113">
        <v>0.8</v>
      </c>
      <c r="BS24" s="113">
        <v>0.8</v>
      </c>
      <c r="BT24" s="113">
        <v>0.8</v>
      </c>
      <c r="BU24" s="113">
        <v>0.8</v>
      </c>
      <c r="BV24" s="113">
        <v>0.8</v>
      </c>
      <c r="BW24" s="236">
        <v>0.8</v>
      </c>
      <c r="BX24" s="236">
        <v>0.8</v>
      </c>
      <c r="BY24" s="236">
        <v>0.8</v>
      </c>
      <c r="BZ24" s="236">
        <v>0.8</v>
      </c>
      <c r="CA24" s="236">
        <v>0.8</v>
      </c>
      <c r="CB24" s="236">
        <v>0.8</v>
      </c>
      <c r="CC24" s="236">
        <v>0.8</v>
      </c>
      <c r="CD24" s="236">
        <v>0.8</v>
      </c>
      <c r="CE24" s="236">
        <v>0.8</v>
      </c>
      <c r="CF24" s="236">
        <v>0.8</v>
      </c>
      <c r="CG24" s="236">
        <v>0.8</v>
      </c>
      <c r="CH24" s="236">
        <v>0.8</v>
      </c>
      <c r="CI24" s="236">
        <v>0.8</v>
      </c>
      <c r="CJ24" s="236">
        <v>0.8</v>
      </c>
      <c r="CK24" s="236">
        <v>0.8</v>
      </c>
      <c r="DL24" s="18"/>
    </row>
    <row r="25" spans="1:116">
      <c r="A25" s="17" t="s">
        <v>108</v>
      </c>
      <c r="B25" s="162" t="s">
        <v>73</v>
      </c>
      <c r="C25" s="45" t="s">
        <v>108</v>
      </c>
      <c r="D25" s="107">
        <v>1.4</v>
      </c>
      <c r="E25" s="107">
        <v>1.4</v>
      </c>
      <c r="F25" s="107">
        <v>1.4</v>
      </c>
      <c r="G25" s="107">
        <v>1.4</v>
      </c>
      <c r="H25" s="107">
        <v>1.4</v>
      </c>
      <c r="I25" s="107">
        <v>1.4</v>
      </c>
      <c r="J25" s="107">
        <v>1.4</v>
      </c>
      <c r="K25" s="86">
        <v>1.4</v>
      </c>
      <c r="L25" s="84">
        <v>0.9</v>
      </c>
      <c r="M25" s="108">
        <v>0.9</v>
      </c>
      <c r="N25" s="86">
        <v>0.9</v>
      </c>
      <c r="O25" s="79">
        <v>0.9</v>
      </c>
      <c r="P25" s="79">
        <v>0.9</v>
      </c>
      <c r="Q25" s="79">
        <v>0.9</v>
      </c>
      <c r="R25" s="86">
        <v>0.8</v>
      </c>
      <c r="S25" s="86">
        <v>0.8</v>
      </c>
      <c r="T25" s="86">
        <v>0.8</v>
      </c>
      <c r="U25" s="108">
        <v>0.8</v>
      </c>
      <c r="V25" s="108">
        <v>0.8</v>
      </c>
      <c r="W25" s="108">
        <v>0.8</v>
      </c>
      <c r="X25" s="86">
        <f>(800000)/1000000</f>
        <v>0.8</v>
      </c>
      <c r="Y25" s="86">
        <v>0.8</v>
      </c>
      <c r="Z25" s="86">
        <v>0.8</v>
      </c>
      <c r="AA25" s="86">
        <v>0.8</v>
      </c>
      <c r="AB25" s="86">
        <v>0.8</v>
      </c>
      <c r="AC25" s="86">
        <v>0</v>
      </c>
      <c r="AD25" s="86">
        <v>0</v>
      </c>
      <c r="AE25" s="86">
        <v>0</v>
      </c>
      <c r="AF25" s="86">
        <v>0</v>
      </c>
      <c r="AG25" s="108">
        <v>0</v>
      </c>
      <c r="AH25" s="108">
        <v>0</v>
      </c>
      <c r="AI25" s="214">
        <v>0</v>
      </c>
      <c r="AJ25" s="214">
        <v>0</v>
      </c>
      <c r="AK25" s="214">
        <v>0</v>
      </c>
      <c r="AL25" s="173">
        <v>0</v>
      </c>
      <c r="AM25" s="79">
        <v>0</v>
      </c>
      <c r="AN25" s="79">
        <v>0</v>
      </c>
      <c r="AO25" s="79">
        <v>0</v>
      </c>
      <c r="AP25" s="79">
        <v>0</v>
      </c>
      <c r="AQ25" s="79">
        <v>0</v>
      </c>
      <c r="AR25" s="79">
        <v>0</v>
      </c>
      <c r="AS25" s="79">
        <v>0</v>
      </c>
      <c r="AT25" s="79">
        <v>0</v>
      </c>
      <c r="AU25" s="79">
        <v>0</v>
      </c>
      <c r="AV25" s="79">
        <v>0</v>
      </c>
      <c r="AW25" s="79">
        <v>0</v>
      </c>
      <c r="AX25" s="79">
        <v>0</v>
      </c>
      <c r="AY25" s="79">
        <v>0</v>
      </c>
      <c r="AZ25" s="79">
        <v>0</v>
      </c>
      <c r="BA25" s="79">
        <v>0</v>
      </c>
      <c r="BB25" s="107">
        <v>0</v>
      </c>
      <c r="BC25" s="203">
        <v>0</v>
      </c>
      <c r="BD25" s="203">
        <v>0</v>
      </c>
      <c r="BE25" s="203">
        <v>0</v>
      </c>
      <c r="BF25" s="203">
        <v>0</v>
      </c>
      <c r="BG25" s="203">
        <v>0</v>
      </c>
      <c r="BH25" s="203">
        <v>0</v>
      </c>
      <c r="BI25" s="203">
        <v>0</v>
      </c>
      <c r="BJ25" s="203">
        <v>0</v>
      </c>
      <c r="BK25" s="203">
        <v>0</v>
      </c>
      <c r="BL25" s="203">
        <v>0</v>
      </c>
      <c r="BM25" s="203">
        <v>0</v>
      </c>
      <c r="BN25" s="203">
        <v>0</v>
      </c>
      <c r="BO25" s="203">
        <v>0</v>
      </c>
      <c r="BP25" s="203">
        <v>0</v>
      </c>
      <c r="BQ25" s="203">
        <v>0</v>
      </c>
      <c r="BR25" s="203">
        <v>0</v>
      </c>
      <c r="BS25" s="203">
        <v>0</v>
      </c>
      <c r="BT25" s="203">
        <v>0</v>
      </c>
      <c r="BU25" s="203">
        <v>0</v>
      </c>
      <c r="BV25" s="203">
        <v>0</v>
      </c>
      <c r="BW25" s="202">
        <v>0</v>
      </c>
      <c r="BX25" s="202">
        <v>0</v>
      </c>
      <c r="BY25" s="236">
        <v>0</v>
      </c>
      <c r="BZ25" s="236">
        <v>0</v>
      </c>
      <c r="CA25" s="236">
        <v>0</v>
      </c>
      <c r="CB25" s="236">
        <v>0</v>
      </c>
      <c r="CC25" s="236">
        <v>0</v>
      </c>
      <c r="CD25" s="236">
        <v>0</v>
      </c>
      <c r="CE25" s="236">
        <v>0</v>
      </c>
      <c r="CF25" s="236">
        <v>0</v>
      </c>
      <c r="CG25" s="236">
        <v>0</v>
      </c>
      <c r="CH25" s="236">
        <v>0</v>
      </c>
      <c r="CI25" s="236">
        <v>0</v>
      </c>
      <c r="CJ25" s="236">
        <v>0</v>
      </c>
      <c r="CK25" s="236">
        <v>0</v>
      </c>
      <c r="DL25" s="18"/>
    </row>
    <row r="26" spans="1:116">
      <c r="A26" s="17" t="s">
        <v>109</v>
      </c>
      <c r="B26" s="162" t="s">
        <v>27</v>
      </c>
      <c r="C26" s="45" t="s">
        <v>109</v>
      </c>
      <c r="D26" s="107">
        <v>68.5</v>
      </c>
      <c r="E26" s="107">
        <v>69</v>
      </c>
      <c r="F26" s="107">
        <v>66.7</v>
      </c>
      <c r="G26" s="107">
        <v>67.7</v>
      </c>
      <c r="H26" s="107">
        <v>70.900000000000006</v>
      </c>
      <c r="I26" s="107">
        <v>69.8</v>
      </c>
      <c r="J26" s="107">
        <v>69.400000000000006</v>
      </c>
      <c r="K26" s="86">
        <v>66</v>
      </c>
      <c r="L26" s="84">
        <v>64.400000000000006</v>
      </c>
      <c r="M26" s="108">
        <v>61.15</v>
      </c>
      <c r="N26" s="86">
        <v>61.9925</v>
      </c>
      <c r="O26" s="79">
        <v>62.012</v>
      </c>
      <c r="P26" s="79">
        <v>61.98</v>
      </c>
      <c r="Q26" s="79">
        <v>62.35</v>
      </c>
      <c r="R26" s="86">
        <v>59.725499999999997</v>
      </c>
      <c r="S26" s="86">
        <v>59.502000000000002</v>
      </c>
      <c r="T26" s="86">
        <v>56.381500000000003</v>
      </c>
      <c r="U26" s="108">
        <v>55.342500000000001</v>
      </c>
      <c r="V26" s="108">
        <v>54.744500000000002</v>
      </c>
      <c r="W26" s="108">
        <v>55.236499999999999</v>
      </c>
      <c r="X26" s="86">
        <f>(4767500+8673000+3479000+36582000)/1000000</f>
        <v>53.5015</v>
      </c>
      <c r="Y26" s="86">
        <v>52.5715</v>
      </c>
      <c r="Z26" s="86">
        <v>52.798500000000004</v>
      </c>
      <c r="AA26" s="86">
        <v>56.069500000000005</v>
      </c>
      <c r="AB26" s="86">
        <f>2.7675+12.952+3.479+39.909</f>
        <v>59.107500000000002</v>
      </c>
      <c r="AC26" s="86">
        <v>61.138000000000005</v>
      </c>
      <c r="AD26" s="86">
        <v>61.911000000000008</v>
      </c>
      <c r="AE26" s="86">
        <v>62.040500000000009</v>
      </c>
      <c r="AF26" s="86">
        <v>65.119500000000002</v>
      </c>
      <c r="AG26" s="106">
        <v>66.186499999999995</v>
      </c>
      <c r="AH26" s="106">
        <v>66.186499999999995</v>
      </c>
      <c r="AI26" s="214">
        <v>66.017499999999998</v>
      </c>
      <c r="AJ26" s="214">
        <v>69.965500000000006</v>
      </c>
      <c r="AK26" s="214">
        <v>69.965500000000006</v>
      </c>
      <c r="AL26" s="173">
        <v>69.9465</v>
      </c>
      <c r="AM26" s="79">
        <v>69.9465</v>
      </c>
      <c r="AN26" s="79">
        <v>69.876499999999993</v>
      </c>
      <c r="AO26" s="79">
        <v>72.505499999999998</v>
      </c>
      <c r="AP26" s="79">
        <v>72.448499999999996</v>
      </c>
      <c r="AQ26" s="79">
        <v>74.333500000000001</v>
      </c>
      <c r="AR26" s="79">
        <v>74.323499999999996</v>
      </c>
      <c r="AS26" s="79">
        <v>72.653499999999994</v>
      </c>
      <c r="AT26" s="79">
        <v>74.085499999999996</v>
      </c>
      <c r="AU26" s="79">
        <v>75.3005</v>
      </c>
      <c r="AV26" s="79">
        <v>72.543499999999995</v>
      </c>
      <c r="AW26" s="79">
        <f>47.6855+25.388</f>
        <v>73.073499999999996</v>
      </c>
      <c r="AX26" s="79">
        <f>2.7575+1.477+0.891+42.778+20.156+3.032+2.2</f>
        <v>73.291499999999999</v>
      </c>
      <c r="AY26" s="79">
        <f>2.7525+1.477+0.891+43.376+20.156+3.032+2.2</f>
        <v>73.884500000000003</v>
      </c>
      <c r="AZ26" s="79">
        <v>78.3005</v>
      </c>
      <c r="BA26" s="79">
        <v>78.861500000000007</v>
      </c>
      <c r="BB26" s="79">
        <v>79.737499999999997</v>
      </c>
      <c r="BC26" s="203">
        <v>73.956500000000005</v>
      </c>
      <c r="BD26" s="203">
        <v>98.346499999999992</v>
      </c>
      <c r="BE26" s="203">
        <v>97.773499999999999</v>
      </c>
      <c r="BF26" s="203">
        <v>97.742500000000007</v>
      </c>
      <c r="BG26" s="203">
        <v>98.835499999999996</v>
      </c>
      <c r="BH26" s="203">
        <v>98.906499999999994</v>
      </c>
      <c r="BI26" s="203">
        <v>104.87649999999999</v>
      </c>
      <c r="BJ26" s="79">
        <v>105.6245</v>
      </c>
      <c r="BK26" s="203">
        <v>105.78450000000001</v>
      </c>
      <c r="BL26" s="203">
        <v>105.9075</v>
      </c>
      <c r="BM26" s="203">
        <v>107.10050000000001</v>
      </c>
      <c r="BN26" s="203">
        <v>107.4285</v>
      </c>
      <c r="BO26" s="203">
        <v>108.68049999999999</v>
      </c>
      <c r="BP26" s="203">
        <v>108.8175</v>
      </c>
      <c r="BQ26" s="113">
        <v>59.426499999999997</v>
      </c>
      <c r="BR26" s="113">
        <v>59.852499999999999</v>
      </c>
      <c r="BS26" s="113">
        <v>61.628500000000003</v>
      </c>
      <c r="BT26" s="113">
        <v>62.3705</v>
      </c>
      <c r="BU26" s="113">
        <v>64.003500000000003</v>
      </c>
      <c r="BV26" s="113">
        <v>64.1815</v>
      </c>
      <c r="BW26" s="236">
        <v>64.716499999999996</v>
      </c>
      <c r="BX26" s="236">
        <v>64.283500000000004</v>
      </c>
      <c r="BY26" s="236">
        <v>64.842500000000001</v>
      </c>
      <c r="BZ26" s="236">
        <v>64.715499999999992</v>
      </c>
      <c r="CA26" s="236">
        <v>64.628500000000003</v>
      </c>
      <c r="CB26" s="236">
        <v>64.270499999999998</v>
      </c>
      <c r="CC26" s="236">
        <v>61.450499999999998</v>
      </c>
      <c r="CD26" s="236">
        <v>61.403500000000001</v>
      </c>
      <c r="CE26" s="236">
        <v>66.489500000000007</v>
      </c>
      <c r="CF26" s="236">
        <v>67.340500000000006</v>
      </c>
      <c r="CG26" s="236">
        <v>67.778499999999994</v>
      </c>
      <c r="CH26" s="236">
        <v>68.058499999999995</v>
      </c>
      <c r="CI26" s="236">
        <v>68.055499999999995</v>
      </c>
      <c r="CJ26" s="236">
        <v>66.659499999999994</v>
      </c>
      <c r="CK26" s="236">
        <v>66.596500000000006</v>
      </c>
      <c r="DL26" s="18"/>
    </row>
    <row r="27" spans="1:116">
      <c r="A27" s="17" t="s">
        <v>110</v>
      </c>
      <c r="B27" s="161" t="s">
        <v>74</v>
      </c>
      <c r="C27" s="80" t="s">
        <v>110</v>
      </c>
      <c r="D27" s="81">
        <v>45</v>
      </c>
      <c r="E27" s="81">
        <v>44</v>
      </c>
      <c r="F27" s="81">
        <v>63</v>
      </c>
      <c r="G27" s="81">
        <v>75</v>
      </c>
      <c r="H27" s="81">
        <v>129</v>
      </c>
      <c r="I27" s="81">
        <v>167</v>
      </c>
      <c r="J27" s="81">
        <v>187.5</v>
      </c>
      <c r="K27" s="111">
        <f>SUM(K28:K32)</f>
        <v>182</v>
      </c>
      <c r="L27" s="77">
        <f t="shared" ref="L27:S27" si="35">SUM(L28:L32)</f>
        <v>186.5</v>
      </c>
      <c r="M27" s="112">
        <f t="shared" si="35"/>
        <v>169.518</v>
      </c>
      <c r="N27" s="111">
        <f t="shared" si="35"/>
        <v>170.51500000000001</v>
      </c>
      <c r="O27" s="76">
        <f t="shared" si="35"/>
        <v>166.51999999999998</v>
      </c>
      <c r="P27" s="77">
        <f t="shared" si="35"/>
        <v>141.51999999999998</v>
      </c>
      <c r="Q27" s="76">
        <f t="shared" si="35"/>
        <v>86.02</v>
      </c>
      <c r="R27" s="76">
        <f t="shared" si="35"/>
        <v>79.015000000000001</v>
      </c>
      <c r="S27" s="76">
        <f t="shared" si="35"/>
        <v>98.015000000000001</v>
      </c>
      <c r="T27" s="111">
        <f>SUM(T28:T32)</f>
        <v>142</v>
      </c>
      <c r="U27" s="112">
        <v>210</v>
      </c>
      <c r="V27" s="112">
        <v>307.5</v>
      </c>
      <c r="W27" s="112">
        <v>299.5</v>
      </c>
      <c r="X27" s="111">
        <v>318</v>
      </c>
      <c r="Y27" s="111">
        <v>300</v>
      </c>
      <c r="Z27" s="111">
        <f t="shared" ref="Z27:AF27" si="36">SUM(Z28:Z32)</f>
        <v>298</v>
      </c>
      <c r="AA27" s="111">
        <f t="shared" si="36"/>
        <v>277.5</v>
      </c>
      <c r="AB27" s="111">
        <f t="shared" si="36"/>
        <v>275</v>
      </c>
      <c r="AC27" s="111">
        <f t="shared" si="36"/>
        <v>291.5</v>
      </c>
      <c r="AD27" s="111">
        <f t="shared" si="36"/>
        <v>288.5</v>
      </c>
      <c r="AE27" s="111">
        <f t="shared" si="36"/>
        <v>268.7</v>
      </c>
      <c r="AF27" s="111">
        <f t="shared" si="36"/>
        <v>268.7</v>
      </c>
      <c r="AG27" s="111">
        <f t="shared" ref="AG27:AM27" si="37">SUM(AG28:AG32)</f>
        <v>269.7</v>
      </c>
      <c r="AH27" s="112">
        <f t="shared" si="37"/>
        <v>269.7</v>
      </c>
      <c r="AI27" s="76">
        <f t="shared" si="37"/>
        <v>269.7</v>
      </c>
      <c r="AJ27" s="226">
        <f t="shared" si="37"/>
        <v>269.7</v>
      </c>
      <c r="AK27" s="226">
        <f t="shared" si="37"/>
        <v>269.7</v>
      </c>
      <c r="AL27" s="207">
        <f t="shared" si="37"/>
        <v>269.7</v>
      </c>
      <c r="AM27" s="76">
        <f t="shared" si="37"/>
        <v>259.7</v>
      </c>
      <c r="AN27" s="76">
        <f t="shared" ref="AN27:AV27" si="38">SUM(AN28:AN32)</f>
        <v>259.7</v>
      </c>
      <c r="AO27" s="76">
        <f t="shared" si="38"/>
        <v>264.7</v>
      </c>
      <c r="AP27" s="76">
        <f t="shared" si="38"/>
        <v>310.7</v>
      </c>
      <c r="AQ27" s="76">
        <f t="shared" si="38"/>
        <v>302.5</v>
      </c>
      <c r="AR27" s="76">
        <f t="shared" si="38"/>
        <v>302.5</v>
      </c>
      <c r="AS27" s="76">
        <f t="shared" si="38"/>
        <v>292.5</v>
      </c>
      <c r="AT27" s="76">
        <f t="shared" si="38"/>
        <v>273.5</v>
      </c>
      <c r="AU27" s="76">
        <f t="shared" si="38"/>
        <v>273.5</v>
      </c>
      <c r="AV27" s="76">
        <f t="shared" si="38"/>
        <v>273.5</v>
      </c>
      <c r="AW27" s="229">
        <f>SUM(AW28:AW32)</f>
        <v>273.5</v>
      </c>
      <c r="AX27" s="229">
        <f>SUM(AX28:AX32)</f>
        <v>273.5</v>
      </c>
      <c r="AY27" s="229">
        <f>SUM(AY28:AY32)</f>
        <v>273.5</v>
      </c>
      <c r="AZ27" s="229">
        <v>273.5</v>
      </c>
      <c r="BA27" s="229">
        <v>273.5</v>
      </c>
      <c r="BB27" s="81">
        <f>SUM(BB28:BB32)</f>
        <v>343.5</v>
      </c>
      <c r="BC27" s="81">
        <f t="shared" ref="BC27:BO27" si="39">SUM(BC28:BC32)</f>
        <v>452.5</v>
      </c>
      <c r="BD27" s="81">
        <f t="shared" si="39"/>
        <v>420.5</v>
      </c>
      <c r="BE27" s="81">
        <f t="shared" si="39"/>
        <v>400.5</v>
      </c>
      <c r="BF27" s="81">
        <f t="shared" si="39"/>
        <v>283.5</v>
      </c>
      <c r="BG27" s="81">
        <f t="shared" si="39"/>
        <v>283.5</v>
      </c>
      <c r="BH27" s="81">
        <f t="shared" si="39"/>
        <v>283.5</v>
      </c>
      <c r="BI27" s="81">
        <f t="shared" si="39"/>
        <v>281.5</v>
      </c>
      <c r="BJ27" s="81">
        <f t="shared" si="39"/>
        <v>281.5</v>
      </c>
      <c r="BK27" s="81">
        <f t="shared" si="39"/>
        <v>281.5</v>
      </c>
      <c r="BL27" s="81">
        <f t="shared" si="39"/>
        <v>277</v>
      </c>
      <c r="BM27" s="81">
        <f t="shared" si="39"/>
        <v>275</v>
      </c>
      <c r="BN27" s="81">
        <f t="shared" si="39"/>
        <v>272.10000000000002</v>
      </c>
      <c r="BO27" s="81">
        <f t="shared" si="39"/>
        <v>272.10000000000002</v>
      </c>
      <c r="BP27" s="81">
        <f t="shared" ref="BP27:BW27" si="40">SUM(BP28:BP32)</f>
        <v>267.10000000000002</v>
      </c>
      <c r="BQ27" s="81">
        <f t="shared" si="40"/>
        <v>265.10000000000002</v>
      </c>
      <c r="BR27" s="81">
        <f t="shared" si="40"/>
        <v>265.10000000000002</v>
      </c>
      <c r="BS27" s="81">
        <f t="shared" si="40"/>
        <v>330.005</v>
      </c>
      <c r="BT27" s="81">
        <f t="shared" si="40"/>
        <v>330.005</v>
      </c>
      <c r="BU27" s="81">
        <f t="shared" si="40"/>
        <v>370.005</v>
      </c>
      <c r="BV27" s="81">
        <f t="shared" si="40"/>
        <v>332.005</v>
      </c>
      <c r="BW27" s="111">
        <f t="shared" si="40"/>
        <v>342</v>
      </c>
      <c r="BX27" s="111">
        <f t="shared" ref="BX27:CB27" si="41">SUM(BX28:BX32)</f>
        <v>350</v>
      </c>
      <c r="BY27" s="111">
        <f>SUM(BY28:BY32)</f>
        <v>308</v>
      </c>
      <c r="BZ27" s="111">
        <f t="shared" si="41"/>
        <v>335</v>
      </c>
      <c r="CA27" s="111">
        <f t="shared" si="41"/>
        <v>330</v>
      </c>
      <c r="CB27" s="111">
        <f t="shared" si="41"/>
        <v>294</v>
      </c>
      <c r="CC27" s="111">
        <f>SUM(CC28:CC32)</f>
        <v>284</v>
      </c>
      <c r="CD27" s="111">
        <f>SUM(CD28:CD32)</f>
        <v>279</v>
      </c>
      <c r="CE27" s="111">
        <f>SUM(CE28:CE32)</f>
        <v>215</v>
      </c>
      <c r="CF27" s="111">
        <f t="shared" ref="CF27:CK27" si="42">SUM(CF28:CF32)</f>
        <v>215</v>
      </c>
      <c r="CG27" s="111">
        <f t="shared" si="42"/>
        <v>235</v>
      </c>
      <c r="CH27" s="111">
        <f t="shared" si="42"/>
        <v>290</v>
      </c>
      <c r="CI27" s="111">
        <f t="shared" si="42"/>
        <v>310</v>
      </c>
      <c r="CJ27" s="111">
        <f t="shared" si="42"/>
        <v>310</v>
      </c>
      <c r="CK27" s="111">
        <f t="shared" si="42"/>
        <v>310</v>
      </c>
      <c r="DL27" s="18"/>
    </row>
    <row r="28" spans="1:116">
      <c r="A28" s="45" t="s">
        <v>217</v>
      </c>
      <c r="B28" s="163" t="s">
        <v>69</v>
      </c>
      <c r="C28" s="45" t="s">
        <v>218</v>
      </c>
      <c r="D28" s="107"/>
      <c r="E28" s="107"/>
      <c r="F28" s="107"/>
      <c r="G28" s="107"/>
      <c r="H28" s="107"/>
      <c r="I28" s="106">
        <v>0</v>
      </c>
      <c r="J28" s="106">
        <v>0</v>
      </c>
      <c r="K28" s="108">
        <v>0</v>
      </c>
      <c r="L28" s="108">
        <v>0</v>
      </c>
      <c r="M28" s="108">
        <v>0</v>
      </c>
      <c r="N28" s="108">
        <v>0</v>
      </c>
      <c r="O28" s="108">
        <v>0</v>
      </c>
      <c r="P28" s="108">
        <v>0</v>
      </c>
      <c r="Q28" s="108">
        <v>0</v>
      </c>
      <c r="R28" s="79">
        <v>20</v>
      </c>
      <c r="S28" s="108">
        <v>50</v>
      </c>
      <c r="T28" s="108">
        <v>50</v>
      </c>
      <c r="U28" s="108">
        <v>105</v>
      </c>
      <c r="V28" s="108">
        <v>105</v>
      </c>
      <c r="W28" s="108">
        <v>105</v>
      </c>
      <c r="X28" s="86">
        <v>95</v>
      </c>
      <c r="Y28" s="86">
        <v>80</v>
      </c>
      <c r="Z28" s="86">
        <v>70</v>
      </c>
      <c r="AA28" s="86">
        <v>48.5</v>
      </c>
      <c r="AB28" s="86">
        <v>48.5</v>
      </c>
      <c r="AC28" s="86">
        <v>42</v>
      </c>
      <c r="AD28" s="86">
        <v>42</v>
      </c>
      <c r="AE28" s="86">
        <v>42</v>
      </c>
      <c r="AF28" s="86">
        <f>[1]Govtown!$B$6/1000000</f>
        <v>42</v>
      </c>
      <c r="AG28" s="107">
        <v>0</v>
      </c>
      <c r="AH28" s="106">
        <v>0</v>
      </c>
      <c r="AI28" s="214">
        <v>0</v>
      </c>
      <c r="AJ28" s="214">
        <v>0</v>
      </c>
      <c r="AK28" s="214">
        <v>0</v>
      </c>
      <c r="AL28" s="173">
        <v>0</v>
      </c>
      <c r="AM28" s="79">
        <v>0</v>
      </c>
      <c r="AN28" s="79">
        <v>0</v>
      </c>
      <c r="AO28" s="79">
        <v>0</v>
      </c>
      <c r="AP28" s="79">
        <v>0</v>
      </c>
      <c r="AQ28" s="79">
        <v>0</v>
      </c>
      <c r="AR28" s="79">
        <v>0</v>
      </c>
      <c r="AS28" s="79">
        <v>0</v>
      </c>
      <c r="AT28" s="79">
        <v>0</v>
      </c>
      <c r="AU28" s="79">
        <v>0</v>
      </c>
      <c r="AV28" s="79">
        <v>0</v>
      </c>
      <c r="AW28" s="79">
        <v>0</v>
      </c>
      <c r="AX28" s="79">
        <v>0</v>
      </c>
      <c r="AY28" s="79">
        <v>0</v>
      </c>
      <c r="AZ28" s="79">
        <v>0</v>
      </c>
      <c r="BA28" s="79">
        <v>0</v>
      </c>
      <c r="BB28" s="203">
        <v>0</v>
      </c>
      <c r="BC28" s="203">
        <v>0</v>
      </c>
      <c r="BD28" s="203">
        <v>0</v>
      </c>
      <c r="BE28" s="203">
        <v>0</v>
      </c>
      <c r="BF28" s="203">
        <v>0</v>
      </c>
      <c r="BG28" s="203">
        <v>0</v>
      </c>
      <c r="BH28" s="203">
        <v>0</v>
      </c>
      <c r="BI28" s="203">
        <v>0</v>
      </c>
      <c r="BJ28" s="203">
        <v>0</v>
      </c>
      <c r="BK28" s="203">
        <v>0</v>
      </c>
      <c r="BL28" s="203">
        <v>0</v>
      </c>
      <c r="BM28" s="203">
        <v>0</v>
      </c>
      <c r="BN28" s="203">
        <v>0</v>
      </c>
      <c r="BO28" s="203">
        <v>0</v>
      </c>
      <c r="BP28" s="203">
        <v>0</v>
      </c>
      <c r="BQ28" s="107">
        <v>0</v>
      </c>
      <c r="BR28" s="107">
        <v>0</v>
      </c>
      <c r="BS28" s="107">
        <v>0</v>
      </c>
      <c r="BT28" s="107">
        <v>0</v>
      </c>
      <c r="BU28" s="107">
        <v>0</v>
      </c>
      <c r="BV28" s="107">
        <v>0</v>
      </c>
      <c r="BW28" s="86">
        <v>0</v>
      </c>
      <c r="BX28" s="86">
        <v>0</v>
      </c>
      <c r="BY28" s="236">
        <v>0</v>
      </c>
      <c r="BZ28" s="236">
        <v>0</v>
      </c>
      <c r="CA28" s="236">
        <v>0</v>
      </c>
      <c r="CB28" s="236">
        <v>0</v>
      </c>
      <c r="CC28" s="236">
        <v>0</v>
      </c>
      <c r="CD28" s="236">
        <v>0</v>
      </c>
      <c r="CE28" s="236">
        <v>0</v>
      </c>
      <c r="CF28" s="236">
        <v>0</v>
      </c>
      <c r="CG28" s="236">
        <v>0</v>
      </c>
      <c r="CH28" s="236">
        <v>0</v>
      </c>
      <c r="CI28" s="236">
        <v>0</v>
      </c>
      <c r="CJ28" s="236">
        <v>0</v>
      </c>
      <c r="CK28" s="236">
        <v>0</v>
      </c>
      <c r="DL28" s="18"/>
    </row>
    <row r="29" spans="1:116">
      <c r="A29" s="19" t="s">
        <v>111</v>
      </c>
      <c r="B29" s="162" t="s">
        <v>28</v>
      </c>
      <c r="C29" s="45" t="s">
        <v>111</v>
      </c>
      <c r="D29" s="107">
        <v>38.200000000000003</v>
      </c>
      <c r="E29" s="107">
        <v>37.200000000000003</v>
      </c>
      <c r="F29" s="107">
        <v>56.2</v>
      </c>
      <c r="G29" s="107">
        <v>68.2</v>
      </c>
      <c r="H29" s="107">
        <v>118.2</v>
      </c>
      <c r="I29" s="107">
        <v>156.19999999999999</v>
      </c>
      <c r="J29" s="107">
        <v>179</v>
      </c>
      <c r="K29" s="86">
        <v>171.98</v>
      </c>
      <c r="L29" s="84">
        <v>180.2</v>
      </c>
      <c r="M29" s="108">
        <v>163.16999999999999</v>
      </c>
      <c r="N29" s="86">
        <v>164.167</v>
      </c>
      <c r="O29" s="79">
        <v>160.16999999999999</v>
      </c>
      <c r="P29" s="84">
        <v>139.16999999999999</v>
      </c>
      <c r="Q29" s="79">
        <v>85.17</v>
      </c>
      <c r="R29" s="84">
        <v>59</v>
      </c>
      <c r="S29" s="86">
        <v>48</v>
      </c>
      <c r="T29" s="86">
        <v>82</v>
      </c>
      <c r="U29" s="108">
        <v>91</v>
      </c>
      <c r="V29" s="108">
        <v>188</v>
      </c>
      <c r="W29" s="108">
        <v>180</v>
      </c>
      <c r="X29" s="86">
        <v>209</v>
      </c>
      <c r="Y29" s="86">
        <v>206</v>
      </c>
      <c r="Z29" s="86">
        <v>214</v>
      </c>
      <c r="AA29" s="86">
        <v>215</v>
      </c>
      <c r="AB29" s="86">
        <v>212.5</v>
      </c>
      <c r="AC29" s="86">
        <v>237.5</v>
      </c>
      <c r="AD29" s="86">
        <v>234.5</v>
      </c>
      <c r="AE29" s="86">
        <v>214.7</v>
      </c>
      <c r="AF29" s="86">
        <f>[1]Govtown!$B$7/1000000</f>
        <v>224.7</v>
      </c>
      <c r="AG29" s="107">
        <v>269.5</v>
      </c>
      <c r="AH29" s="106">
        <v>269.5</v>
      </c>
      <c r="AI29" s="214">
        <v>269.5</v>
      </c>
      <c r="AJ29" s="173">
        <v>269.39999999999998</v>
      </c>
      <c r="AK29" s="173">
        <v>269.39999999999998</v>
      </c>
      <c r="AL29" s="173">
        <v>269.39999999999998</v>
      </c>
      <c r="AM29" s="79">
        <v>259.5</v>
      </c>
      <c r="AN29" s="79">
        <v>259.5</v>
      </c>
      <c r="AO29" s="79">
        <v>264.48099999999999</v>
      </c>
      <c r="AP29" s="79">
        <v>310.48099999999999</v>
      </c>
      <c r="AQ29" s="79">
        <v>302.28100000000001</v>
      </c>
      <c r="AR29" s="79">
        <v>302.28100000000001</v>
      </c>
      <c r="AS29" s="79">
        <v>292.48099999999999</v>
      </c>
      <c r="AT29" s="79">
        <v>273.48099999999999</v>
      </c>
      <c r="AU29" s="79">
        <v>273.48099999999999</v>
      </c>
      <c r="AV29" s="79">
        <v>273.476</v>
      </c>
      <c r="AW29" s="79">
        <v>273.476</v>
      </c>
      <c r="AX29" s="79">
        <v>273.476</v>
      </c>
      <c r="AY29" s="79">
        <v>273.48099999999999</v>
      </c>
      <c r="AZ29" s="79">
        <v>273.48099999999999</v>
      </c>
      <c r="BA29" s="79">
        <v>273.5</v>
      </c>
      <c r="BB29" s="107">
        <v>343.5</v>
      </c>
      <c r="BC29" s="203">
        <v>452.5</v>
      </c>
      <c r="BD29" s="203">
        <v>420.5</v>
      </c>
      <c r="BE29" s="203">
        <v>400.5</v>
      </c>
      <c r="BF29" s="203">
        <v>283.5</v>
      </c>
      <c r="BG29" s="203">
        <v>283.5</v>
      </c>
      <c r="BH29" s="203">
        <v>283.5</v>
      </c>
      <c r="BI29" s="203">
        <v>281.5</v>
      </c>
      <c r="BJ29" s="79">
        <v>281.5</v>
      </c>
      <c r="BK29" s="106">
        <v>281.5</v>
      </c>
      <c r="BL29" s="106">
        <v>277</v>
      </c>
      <c r="BM29" s="106">
        <v>275</v>
      </c>
      <c r="BN29" s="106">
        <v>272.10000000000002</v>
      </c>
      <c r="BO29" s="106">
        <v>272.10000000000002</v>
      </c>
      <c r="BP29" s="106">
        <v>267.10000000000002</v>
      </c>
      <c r="BQ29" s="107">
        <v>265.10000000000002</v>
      </c>
      <c r="BR29" s="107">
        <v>265.10000000000002</v>
      </c>
      <c r="BS29" s="107">
        <v>330.005</v>
      </c>
      <c r="BT29" s="107">
        <v>330.005</v>
      </c>
      <c r="BU29" s="107">
        <v>370.005</v>
      </c>
      <c r="BV29" s="107">
        <v>332.005</v>
      </c>
      <c r="BW29" s="86">
        <v>342</v>
      </c>
      <c r="BX29" s="86">
        <v>350</v>
      </c>
      <c r="BY29" s="236">
        <v>308</v>
      </c>
      <c r="BZ29" s="236">
        <v>335</v>
      </c>
      <c r="CA29" s="236">
        <v>330</v>
      </c>
      <c r="CB29" s="239">
        <v>294</v>
      </c>
      <c r="CC29" s="239">
        <v>284</v>
      </c>
      <c r="CD29" s="236">
        <v>279</v>
      </c>
      <c r="CE29" s="236">
        <v>215</v>
      </c>
      <c r="CF29" s="236">
        <v>215</v>
      </c>
      <c r="CG29" s="236">
        <v>235</v>
      </c>
      <c r="CH29" s="236">
        <v>285</v>
      </c>
      <c r="CI29" s="236">
        <v>305</v>
      </c>
      <c r="CJ29" s="236">
        <v>305</v>
      </c>
      <c r="CK29" s="236">
        <v>305</v>
      </c>
      <c r="DL29" s="18"/>
    </row>
    <row r="30" spans="1:116">
      <c r="A30" s="17" t="s">
        <v>112</v>
      </c>
      <c r="B30" s="162" t="s">
        <v>26</v>
      </c>
      <c r="C30" s="45" t="s">
        <v>112</v>
      </c>
      <c r="D30" s="107">
        <v>4.5</v>
      </c>
      <c r="E30" s="107">
        <v>4.5</v>
      </c>
      <c r="F30" s="107">
        <v>4.5</v>
      </c>
      <c r="G30" s="107">
        <v>4.5</v>
      </c>
      <c r="H30" s="107">
        <v>4.5</v>
      </c>
      <c r="I30" s="107">
        <v>4.5</v>
      </c>
      <c r="J30" s="107">
        <v>4.5</v>
      </c>
      <c r="K30" s="86">
        <v>4.5199999999999996</v>
      </c>
      <c r="L30" s="84">
        <v>0</v>
      </c>
      <c r="M30" s="108">
        <v>0</v>
      </c>
      <c r="N30" s="108">
        <v>0</v>
      </c>
      <c r="O30" s="108">
        <v>0</v>
      </c>
      <c r="P30" s="84">
        <v>0</v>
      </c>
      <c r="Q30" s="79">
        <v>0.85</v>
      </c>
      <c r="R30" s="79">
        <v>0</v>
      </c>
      <c r="S30" s="86">
        <v>0</v>
      </c>
      <c r="T30" s="86">
        <v>10</v>
      </c>
      <c r="U30" s="108">
        <v>10</v>
      </c>
      <c r="V30" s="108">
        <v>10</v>
      </c>
      <c r="W30" s="108">
        <v>10</v>
      </c>
      <c r="X30" s="86">
        <v>10</v>
      </c>
      <c r="Y30" s="86">
        <v>10</v>
      </c>
      <c r="Z30" s="86">
        <v>10</v>
      </c>
      <c r="AA30" s="86">
        <v>10</v>
      </c>
      <c r="AB30" s="86">
        <v>10</v>
      </c>
      <c r="AC30" s="86">
        <v>10</v>
      </c>
      <c r="AD30" s="86">
        <v>10</v>
      </c>
      <c r="AE30" s="86">
        <v>10</v>
      </c>
      <c r="AF30" s="86">
        <f>[1]Govtown!$B$10/1000000</f>
        <v>0</v>
      </c>
      <c r="AG30" s="107">
        <v>0</v>
      </c>
      <c r="AH30" s="106">
        <v>0</v>
      </c>
      <c r="AI30" s="214">
        <v>0</v>
      </c>
      <c r="AJ30" s="214">
        <v>0</v>
      </c>
      <c r="AK30" s="214">
        <v>0</v>
      </c>
      <c r="AL30" s="173">
        <v>0</v>
      </c>
      <c r="AM30" s="79">
        <v>0</v>
      </c>
      <c r="AN30" s="79">
        <v>0</v>
      </c>
      <c r="AO30" s="79">
        <v>0</v>
      </c>
      <c r="AP30" s="79">
        <v>0</v>
      </c>
      <c r="AQ30" s="79">
        <v>0</v>
      </c>
      <c r="AR30" s="79">
        <v>0</v>
      </c>
      <c r="AS30" s="79">
        <v>0</v>
      </c>
      <c r="AT30" s="79">
        <v>0</v>
      </c>
      <c r="AU30" s="79">
        <v>0</v>
      </c>
      <c r="AV30" s="79">
        <v>0</v>
      </c>
      <c r="AW30" s="79">
        <v>0</v>
      </c>
      <c r="AX30" s="79">
        <v>0</v>
      </c>
      <c r="AY30" s="79">
        <v>0</v>
      </c>
      <c r="AZ30" s="79">
        <v>0</v>
      </c>
      <c r="BA30" s="79">
        <v>0</v>
      </c>
      <c r="BB30" s="79">
        <v>0</v>
      </c>
      <c r="BC30" s="79">
        <v>0</v>
      </c>
      <c r="BD30" s="79">
        <v>0</v>
      </c>
      <c r="BE30" s="79">
        <v>0</v>
      </c>
      <c r="BF30" s="79">
        <v>0</v>
      </c>
      <c r="BG30" s="79">
        <v>0</v>
      </c>
      <c r="BH30" s="79">
        <v>0</v>
      </c>
      <c r="BI30" s="79">
        <v>0</v>
      </c>
      <c r="BJ30" s="79">
        <v>0</v>
      </c>
      <c r="BK30" s="79">
        <v>0</v>
      </c>
      <c r="BL30" s="79">
        <v>0</v>
      </c>
      <c r="BM30" s="79">
        <v>0</v>
      </c>
      <c r="BN30" s="79">
        <v>0</v>
      </c>
      <c r="BO30" s="79">
        <v>0</v>
      </c>
      <c r="BP30" s="79">
        <v>0</v>
      </c>
      <c r="BQ30" s="107">
        <v>0</v>
      </c>
      <c r="BR30" s="107">
        <v>0</v>
      </c>
      <c r="BS30" s="107">
        <v>0</v>
      </c>
      <c r="BT30" s="107">
        <v>0</v>
      </c>
      <c r="BU30" s="107">
        <v>0</v>
      </c>
      <c r="BV30" s="107">
        <v>0</v>
      </c>
      <c r="BW30" s="107">
        <v>0</v>
      </c>
      <c r="BX30" s="107">
        <v>0</v>
      </c>
      <c r="BY30" s="236">
        <v>0</v>
      </c>
      <c r="BZ30" s="236">
        <v>0</v>
      </c>
      <c r="CA30" s="236">
        <v>0</v>
      </c>
      <c r="CB30" s="236">
        <v>0</v>
      </c>
      <c r="CC30" s="236">
        <v>0</v>
      </c>
      <c r="CD30" s="236">
        <v>0</v>
      </c>
      <c r="CE30" s="236">
        <v>0</v>
      </c>
      <c r="CF30" s="236">
        <v>0</v>
      </c>
      <c r="CG30" s="236">
        <v>0</v>
      </c>
      <c r="CH30" s="236">
        <v>0</v>
      </c>
      <c r="CI30" s="236">
        <v>0</v>
      </c>
      <c r="CJ30" s="236">
        <v>0</v>
      </c>
      <c r="CK30" s="236">
        <v>0</v>
      </c>
      <c r="DL30" s="18"/>
    </row>
    <row r="31" spans="1:116">
      <c r="A31" s="17" t="s">
        <v>113</v>
      </c>
      <c r="B31" s="164" t="s">
        <v>68</v>
      </c>
      <c r="C31" s="45" t="s">
        <v>113</v>
      </c>
      <c r="D31" s="107">
        <v>0</v>
      </c>
      <c r="E31" s="107">
        <v>0</v>
      </c>
      <c r="F31" s="107">
        <v>0</v>
      </c>
      <c r="G31" s="107">
        <v>0</v>
      </c>
      <c r="H31" s="107">
        <v>0</v>
      </c>
      <c r="I31" s="107">
        <v>0</v>
      </c>
      <c r="J31" s="107">
        <v>0</v>
      </c>
      <c r="K31" s="86">
        <v>0</v>
      </c>
      <c r="L31" s="84">
        <v>0</v>
      </c>
      <c r="M31" s="108">
        <v>0</v>
      </c>
      <c r="N31" s="108">
        <v>0</v>
      </c>
      <c r="O31" s="108">
        <v>0</v>
      </c>
      <c r="P31" s="84">
        <v>0</v>
      </c>
      <c r="Q31" s="79">
        <v>0</v>
      </c>
      <c r="R31" s="79">
        <v>0</v>
      </c>
      <c r="S31" s="86">
        <v>0</v>
      </c>
      <c r="T31" s="86">
        <v>0</v>
      </c>
      <c r="U31" s="108">
        <v>0</v>
      </c>
      <c r="V31" s="108">
        <v>0.5</v>
      </c>
      <c r="W31" s="108">
        <v>0.5</v>
      </c>
      <c r="X31" s="86">
        <v>0</v>
      </c>
      <c r="Y31" s="86">
        <v>0</v>
      </c>
      <c r="Z31" s="86">
        <v>0</v>
      </c>
      <c r="AA31" s="86">
        <v>0</v>
      </c>
      <c r="AB31" s="86">
        <v>0</v>
      </c>
      <c r="AC31" s="86">
        <v>0</v>
      </c>
      <c r="AD31" s="86">
        <v>0</v>
      </c>
      <c r="AE31" s="86">
        <v>0</v>
      </c>
      <c r="AF31" s="86">
        <v>0</v>
      </c>
      <c r="AG31" s="107">
        <v>0</v>
      </c>
      <c r="AH31" s="106">
        <v>0</v>
      </c>
      <c r="AI31" s="214">
        <v>0</v>
      </c>
      <c r="AJ31" s="214">
        <v>0</v>
      </c>
      <c r="AK31" s="214">
        <v>0</v>
      </c>
      <c r="AL31" s="173">
        <v>0</v>
      </c>
      <c r="AM31" s="79">
        <v>0</v>
      </c>
      <c r="AN31" s="79">
        <v>0</v>
      </c>
      <c r="AO31" s="79">
        <v>0</v>
      </c>
      <c r="AP31" s="79">
        <v>0</v>
      </c>
      <c r="AQ31" s="79">
        <v>0</v>
      </c>
      <c r="AR31" s="79">
        <v>0</v>
      </c>
      <c r="AS31" s="79">
        <v>0</v>
      </c>
      <c r="AT31" s="79">
        <v>0</v>
      </c>
      <c r="AU31" s="79">
        <v>0</v>
      </c>
      <c r="AV31" s="79">
        <v>0</v>
      </c>
      <c r="AW31" s="79">
        <v>0</v>
      </c>
      <c r="AX31" s="79">
        <v>0</v>
      </c>
      <c r="AY31" s="79">
        <v>0</v>
      </c>
      <c r="AZ31" s="79">
        <v>0</v>
      </c>
      <c r="BA31" s="79">
        <v>0</v>
      </c>
      <c r="BB31" s="79">
        <v>0</v>
      </c>
      <c r="BC31" s="79">
        <v>0</v>
      </c>
      <c r="BD31" s="79">
        <v>0</v>
      </c>
      <c r="BE31" s="79">
        <v>0</v>
      </c>
      <c r="BF31" s="79">
        <v>0</v>
      </c>
      <c r="BG31" s="79">
        <v>0</v>
      </c>
      <c r="BH31" s="79">
        <v>0</v>
      </c>
      <c r="BI31" s="79">
        <v>0</v>
      </c>
      <c r="BJ31" s="79">
        <v>0</v>
      </c>
      <c r="BK31" s="79">
        <v>0</v>
      </c>
      <c r="BL31" s="79">
        <v>0</v>
      </c>
      <c r="BM31" s="79">
        <v>0</v>
      </c>
      <c r="BN31" s="79">
        <v>0</v>
      </c>
      <c r="BO31" s="79">
        <v>0</v>
      </c>
      <c r="BP31" s="79">
        <v>0</v>
      </c>
      <c r="BQ31" s="107">
        <v>0</v>
      </c>
      <c r="BR31" s="107">
        <v>0</v>
      </c>
      <c r="BS31" s="107">
        <v>0</v>
      </c>
      <c r="BT31" s="107">
        <v>0</v>
      </c>
      <c r="BU31" s="107">
        <v>0</v>
      </c>
      <c r="BV31" s="107">
        <v>0</v>
      </c>
      <c r="BW31" s="107">
        <v>0</v>
      </c>
      <c r="BX31" s="107">
        <v>0</v>
      </c>
      <c r="BY31" s="236">
        <v>0</v>
      </c>
      <c r="BZ31" s="236">
        <v>0</v>
      </c>
      <c r="CA31" s="236">
        <v>0</v>
      </c>
      <c r="CB31" s="236">
        <v>0</v>
      </c>
      <c r="CC31" s="236">
        <v>0</v>
      </c>
      <c r="CD31" s="236">
        <v>0</v>
      </c>
      <c r="CE31" s="236">
        <v>0</v>
      </c>
      <c r="CF31" s="236">
        <v>0</v>
      </c>
      <c r="CG31" s="236">
        <v>0</v>
      </c>
      <c r="CH31" s="236">
        <v>0</v>
      </c>
      <c r="CI31" s="236">
        <v>0</v>
      </c>
      <c r="CJ31" s="236">
        <v>0</v>
      </c>
      <c r="CK31" s="236">
        <v>0</v>
      </c>
      <c r="DL31" s="18"/>
    </row>
    <row r="32" spans="1:116">
      <c r="A32" t="s">
        <v>290</v>
      </c>
      <c r="B32" s="162" t="s">
        <v>27</v>
      </c>
      <c r="C32" s="45" t="s">
        <v>114</v>
      </c>
      <c r="D32" s="107">
        <v>2.2000000000000002</v>
      </c>
      <c r="E32" s="107">
        <v>2.2000000000000002</v>
      </c>
      <c r="F32" s="107">
        <v>2.2000000000000002</v>
      </c>
      <c r="G32" s="107">
        <v>2.2000000000000002</v>
      </c>
      <c r="H32" s="107">
        <v>6.2</v>
      </c>
      <c r="I32" s="107">
        <v>6.2</v>
      </c>
      <c r="J32" s="107">
        <v>4</v>
      </c>
      <c r="K32" s="86">
        <v>5.5</v>
      </c>
      <c r="L32" s="84">
        <v>6.3</v>
      </c>
      <c r="M32" s="108">
        <v>6.3479999999999999</v>
      </c>
      <c r="N32" s="86">
        <v>6.3479999999999999</v>
      </c>
      <c r="O32" s="79">
        <v>6.35</v>
      </c>
      <c r="P32" s="84">
        <v>2.35</v>
      </c>
      <c r="Q32" s="79">
        <v>0</v>
      </c>
      <c r="R32" s="84">
        <v>1.4999999999999999E-2</v>
      </c>
      <c r="S32" s="86">
        <f>15000/1000000</f>
        <v>1.4999999999999999E-2</v>
      </c>
      <c r="T32" s="86">
        <v>0</v>
      </c>
      <c r="U32" s="108">
        <v>4</v>
      </c>
      <c r="V32" s="108">
        <v>4</v>
      </c>
      <c r="W32" s="108">
        <v>4</v>
      </c>
      <c r="X32" s="86">
        <v>4</v>
      </c>
      <c r="Y32" s="86">
        <v>4</v>
      </c>
      <c r="Z32" s="86">
        <v>4</v>
      </c>
      <c r="AA32" s="86">
        <v>4</v>
      </c>
      <c r="AB32" s="86">
        <v>4</v>
      </c>
      <c r="AC32" s="86">
        <v>2</v>
      </c>
      <c r="AD32" s="86">
        <v>2</v>
      </c>
      <c r="AE32" s="86">
        <v>2</v>
      </c>
      <c r="AF32" s="86">
        <f>[1]Govtown!$B$11/1000000</f>
        <v>2</v>
      </c>
      <c r="AG32" s="107">
        <v>0.2</v>
      </c>
      <c r="AH32" s="106">
        <v>0.2</v>
      </c>
      <c r="AI32" s="214">
        <v>0.2</v>
      </c>
      <c r="AJ32" s="173">
        <v>0.3</v>
      </c>
      <c r="AK32" s="173">
        <v>0.3</v>
      </c>
      <c r="AL32" s="173">
        <v>0.3</v>
      </c>
      <c r="AM32" s="79">
        <v>0.2</v>
      </c>
      <c r="AN32" s="79">
        <v>0.2</v>
      </c>
      <c r="AO32" s="79">
        <v>0.219</v>
      </c>
      <c r="AP32" s="79">
        <v>0.219</v>
      </c>
      <c r="AQ32" s="79">
        <v>0.219</v>
      </c>
      <c r="AR32" s="79">
        <v>0.219</v>
      </c>
      <c r="AS32" s="79">
        <v>1.9E-2</v>
      </c>
      <c r="AT32" s="79">
        <v>1.9E-2</v>
      </c>
      <c r="AU32" s="79">
        <v>1.9E-2</v>
      </c>
      <c r="AV32" s="79">
        <v>2.4E-2</v>
      </c>
      <c r="AW32" s="79">
        <v>2.4E-2</v>
      </c>
      <c r="AX32" s="79">
        <v>2.4E-2</v>
      </c>
      <c r="AY32" s="79">
        <v>1.9E-2</v>
      </c>
      <c r="AZ32" s="79">
        <v>1.9E-2</v>
      </c>
      <c r="BA32" s="79">
        <v>0</v>
      </c>
      <c r="BB32" s="79">
        <v>0</v>
      </c>
      <c r="BC32" s="79">
        <v>0</v>
      </c>
      <c r="BD32" s="79">
        <v>0</v>
      </c>
      <c r="BE32" s="79">
        <v>0</v>
      </c>
      <c r="BF32" s="79">
        <v>0</v>
      </c>
      <c r="BG32" s="79">
        <v>0</v>
      </c>
      <c r="BH32" s="79">
        <v>0</v>
      </c>
      <c r="BI32" s="79">
        <v>0</v>
      </c>
      <c r="BJ32" s="79">
        <v>0</v>
      </c>
      <c r="BK32" s="79">
        <v>0</v>
      </c>
      <c r="BL32" s="79">
        <v>0</v>
      </c>
      <c r="BM32" s="79">
        <v>0</v>
      </c>
      <c r="BN32" s="79">
        <v>0</v>
      </c>
      <c r="BO32" s="79">
        <v>0</v>
      </c>
      <c r="BP32" s="79">
        <v>0</v>
      </c>
      <c r="BQ32" s="107">
        <v>0</v>
      </c>
      <c r="BR32" s="107">
        <v>0</v>
      </c>
      <c r="BS32" s="107">
        <v>0</v>
      </c>
      <c r="BT32" s="107">
        <v>0</v>
      </c>
      <c r="BU32" s="107">
        <v>0</v>
      </c>
      <c r="BV32" s="107">
        <v>0</v>
      </c>
      <c r="BW32" s="107">
        <v>0</v>
      </c>
      <c r="BX32" s="107">
        <v>0</v>
      </c>
      <c r="BY32" s="236">
        <v>0</v>
      </c>
      <c r="BZ32" s="236">
        <v>0</v>
      </c>
      <c r="CA32" s="236">
        <v>0</v>
      </c>
      <c r="CB32" s="236">
        <v>0</v>
      </c>
      <c r="CC32" s="236">
        <v>0</v>
      </c>
      <c r="CD32" s="236">
        <v>0</v>
      </c>
      <c r="CE32" s="236">
        <v>0</v>
      </c>
      <c r="CF32" s="236">
        <v>0</v>
      </c>
      <c r="CG32" s="236">
        <v>0</v>
      </c>
      <c r="CH32" s="236">
        <v>5</v>
      </c>
      <c r="CI32" s="236">
        <v>5</v>
      </c>
      <c r="CJ32" s="236">
        <v>5</v>
      </c>
      <c r="CK32" s="236">
        <v>5</v>
      </c>
    </row>
    <row r="33" spans="1:89">
      <c r="A33"/>
      <c r="B33" s="162"/>
      <c r="C33" s="45"/>
      <c r="D33" s="107"/>
      <c r="E33" s="107"/>
      <c r="F33" s="107"/>
      <c r="G33" s="107"/>
      <c r="H33" s="107"/>
      <c r="I33" s="107"/>
      <c r="J33" s="107"/>
      <c r="K33" s="86"/>
      <c r="L33" s="84"/>
      <c r="M33" s="108"/>
      <c r="N33" s="86"/>
      <c r="O33" s="79"/>
      <c r="P33" s="84"/>
      <c r="Q33" s="79"/>
      <c r="R33" s="86"/>
      <c r="S33" s="86"/>
      <c r="T33" s="86"/>
      <c r="U33" s="86"/>
      <c r="V33" s="86"/>
      <c r="W33" s="86"/>
      <c r="X33" s="86"/>
      <c r="Y33" s="108"/>
      <c r="Z33" s="108"/>
      <c r="AA33" s="108"/>
      <c r="AB33" s="106"/>
      <c r="AC33" s="106"/>
      <c r="AD33" s="107"/>
      <c r="AE33" s="107"/>
      <c r="AF33" s="107"/>
      <c r="AG33" s="107"/>
      <c r="AH33" s="106"/>
      <c r="AI33" s="214"/>
      <c r="AJ33" s="173"/>
      <c r="AK33" s="173"/>
      <c r="AL33" s="173"/>
      <c r="AM33" s="79"/>
      <c r="AN33" s="79"/>
      <c r="AO33" s="79"/>
      <c r="AP33" s="212"/>
      <c r="AQ33" s="212"/>
      <c r="AR33" s="79"/>
      <c r="AS33" s="212"/>
      <c r="AT33" s="212"/>
      <c r="AU33" s="212"/>
      <c r="AV33" s="212"/>
      <c r="AW33" s="212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</row>
    <row r="34" spans="1:89">
      <c r="A34" t="s">
        <v>199</v>
      </c>
      <c r="B34" s="161" t="s">
        <v>77</v>
      </c>
      <c r="C34" s="80" t="s">
        <v>199</v>
      </c>
      <c r="D34" s="225">
        <v>0</v>
      </c>
      <c r="E34" s="225">
        <v>0</v>
      </c>
      <c r="F34" s="225">
        <v>0</v>
      </c>
      <c r="G34" s="225">
        <v>0</v>
      </c>
      <c r="H34" s="225">
        <v>0</v>
      </c>
      <c r="I34" s="225">
        <v>0</v>
      </c>
      <c r="J34" s="225">
        <v>0</v>
      </c>
      <c r="K34" s="225">
        <f>K35</f>
        <v>0</v>
      </c>
      <c r="L34" s="225">
        <f>SUM(L35)</f>
        <v>0</v>
      </c>
      <c r="M34" s="225">
        <v>0</v>
      </c>
      <c r="N34" s="225">
        <v>0</v>
      </c>
      <c r="O34" s="225">
        <f>SUM(O35)</f>
        <v>0</v>
      </c>
      <c r="P34" s="225">
        <f>SUM(P35)</f>
        <v>0</v>
      </c>
      <c r="Q34" s="225">
        <f>SUM(Q35)</f>
        <v>0</v>
      </c>
      <c r="R34" s="225">
        <f>SUM(R35)</f>
        <v>0</v>
      </c>
      <c r="S34" s="225">
        <f>SUM(S35)</f>
        <v>0</v>
      </c>
      <c r="T34" s="225">
        <v>0</v>
      </c>
      <c r="U34" s="225">
        <v>0</v>
      </c>
      <c r="V34" s="225">
        <v>0</v>
      </c>
      <c r="W34" s="225">
        <v>0</v>
      </c>
      <c r="X34" s="225">
        <f>SUM(X35)</f>
        <v>0</v>
      </c>
      <c r="Y34" s="225">
        <f t="shared" ref="Y34:AG34" si="43">SUM(Y35)</f>
        <v>0</v>
      </c>
      <c r="Z34" s="225">
        <f t="shared" si="43"/>
        <v>0</v>
      </c>
      <c r="AA34" s="225">
        <f t="shared" si="43"/>
        <v>0</v>
      </c>
      <c r="AB34" s="225">
        <f t="shared" si="43"/>
        <v>0</v>
      </c>
      <c r="AC34" s="225">
        <f t="shared" si="43"/>
        <v>0</v>
      </c>
      <c r="AD34" s="225">
        <f t="shared" si="43"/>
        <v>0</v>
      </c>
      <c r="AE34" s="225">
        <f t="shared" si="43"/>
        <v>0</v>
      </c>
      <c r="AF34" s="225">
        <f t="shared" si="43"/>
        <v>0</v>
      </c>
      <c r="AG34" s="225">
        <f t="shared" si="43"/>
        <v>0</v>
      </c>
      <c r="AH34" s="230">
        <f t="shared" ref="AH34:AM34" si="44">SUM(AH35)</f>
        <v>25.79945055</v>
      </c>
      <c r="AI34" s="207">
        <f t="shared" si="44"/>
        <v>25.79945055</v>
      </c>
      <c r="AJ34" s="207">
        <f t="shared" si="44"/>
        <v>25.79945055</v>
      </c>
      <c r="AK34" s="207">
        <f t="shared" si="44"/>
        <v>19.445533649999998</v>
      </c>
      <c r="AL34" s="207">
        <f t="shared" si="44"/>
        <v>19.445533649999998</v>
      </c>
      <c r="AM34" s="76">
        <f t="shared" si="44"/>
        <v>19.445533649999998</v>
      </c>
      <c r="AN34" s="76">
        <f t="shared" ref="AN34:AV34" si="45">SUM(AN35)</f>
        <v>13.033377210000001</v>
      </c>
      <c r="AO34" s="76">
        <f t="shared" si="45"/>
        <v>13.033377210000001</v>
      </c>
      <c r="AP34" s="76">
        <f t="shared" si="45"/>
        <v>13.033377209999998</v>
      </c>
      <c r="AQ34" s="76">
        <f t="shared" si="45"/>
        <v>6.5466326700000002</v>
      </c>
      <c r="AR34" s="76">
        <f t="shared" si="45"/>
        <v>6.5466326700000002</v>
      </c>
      <c r="AS34" s="76">
        <f t="shared" si="45"/>
        <v>0</v>
      </c>
      <c r="AT34" s="76">
        <f t="shared" si="45"/>
        <v>0</v>
      </c>
      <c r="AU34" s="76">
        <f t="shared" si="45"/>
        <v>0</v>
      </c>
      <c r="AV34" s="76">
        <f t="shared" si="45"/>
        <v>0</v>
      </c>
      <c r="AW34" s="76">
        <v>0</v>
      </c>
      <c r="AX34" s="76">
        <v>0</v>
      </c>
      <c r="AY34" s="76">
        <v>0</v>
      </c>
      <c r="AZ34" s="76">
        <v>0</v>
      </c>
      <c r="BA34" s="76">
        <v>0</v>
      </c>
      <c r="BB34" s="76">
        <v>0</v>
      </c>
      <c r="BC34" s="76">
        <v>0</v>
      </c>
      <c r="BD34" s="76">
        <v>0</v>
      </c>
      <c r="BE34" s="76">
        <v>0</v>
      </c>
      <c r="BF34" s="76">
        <v>0</v>
      </c>
      <c r="BG34" s="76">
        <v>0</v>
      </c>
      <c r="BH34" s="76">
        <v>0</v>
      </c>
      <c r="BI34" s="76">
        <v>0</v>
      </c>
      <c r="BJ34" s="76">
        <v>0</v>
      </c>
      <c r="BK34" s="76">
        <v>0</v>
      </c>
      <c r="BL34" s="76">
        <v>0</v>
      </c>
      <c r="BM34" s="76">
        <v>0</v>
      </c>
      <c r="BN34" s="76">
        <v>0</v>
      </c>
      <c r="BO34" s="76">
        <v>0</v>
      </c>
      <c r="BP34" s="76">
        <v>0</v>
      </c>
      <c r="BQ34" s="76">
        <v>0</v>
      </c>
      <c r="BR34" s="76">
        <v>0</v>
      </c>
      <c r="BS34" s="76">
        <v>0</v>
      </c>
      <c r="BT34" s="76">
        <v>0</v>
      </c>
      <c r="BU34" s="76">
        <v>0</v>
      </c>
      <c r="BV34" s="76">
        <v>0</v>
      </c>
      <c r="BW34" s="76">
        <v>0</v>
      </c>
      <c r="BX34" s="76">
        <v>0</v>
      </c>
      <c r="BY34" s="76">
        <v>0</v>
      </c>
      <c r="BZ34" s="76">
        <v>0</v>
      </c>
      <c r="CA34" s="76">
        <v>0</v>
      </c>
      <c r="CB34" s="76">
        <v>0</v>
      </c>
      <c r="CC34" s="76">
        <v>0</v>
      </c>
      <c r="CD34" s="76">
        <v>0</v>
      </c>
      <c r="CE34" s="76">
        <v>0</v>
      </c>
      <c r="CF34" s="76">
        <v>0</v>
      </c>
      <c r="CG34" s="76">
        <v>0</v>
      </c>
      <c r="CH34" s="76">
        <v>0</v>
      </c>
      <c r="CI34" s="76">
        <v>0</v>
      </c>
      <c r="CJ34" s="76">
        <v>0</v>
      </c>
      <c r="CK34" s="76">
        <v>0</v>
      </c>
    </row>
    <row r="35" spans="1:89">
      <c r="A35" t="s">
        <v>200</v>
      </c>
      <c r="B35" s="162" t="s">
        <v>181</v>
      </c>
      <c r="C35" s="45" t="s">
        <v>200</v>
      </c>
      <c r="D35" s="215">
        <v>0</v>
      </c>
      <c r="E35" s="215">
        <v>0</v>
      </c>
      <c r="F35" s="215">
        <v>0</v>
      </c>
      <c r="G35" s="215">
        <v>0</v>
      </c>
      <c r="H35" s="215">
        <v>0</v>
      </c>
      <c r="I35" s="215">
        <v>0</v>
      </c>
      <c r="J35" s="215">
        <v>0</v>
      </c>
      <c r="K35" s="215">
        <v>0</v>
      </c>
      <c r="L35" s="215">
        <v>0</v>
      </c>
      <c r="M35" s="215">
        <v>0</v>
      </c>
      <c r="N35" s="215">
        <v>0</v>
      </c>
      <c r="O35" s="215">
        <v>0</v>
      </c>
      <c r="P35" s="215">
        <v>0</v>
      </c>
      <c r="Q35" s="215">
        <v>0</v>
      </c>
      <c r="R35" s="215">
        <v>0</v>
      </c>
      <c r="S35" s="215">
        <v>0</v>
      </c>
      <c r="T35" s="215">
        <v>0</v>
      </c>
      <c r="U35" s="215">
        <v>0</v>
      </c>
      <c r="V35" s="215">
        <v>0</v>
      </c>
      <c r="W35" s="215">
        <v>0</v>
      </c>
      <c r="X35" s="215">
        <v>0</v>
      </c>
      <c r="Y35" s="215">
        <v>0</v>
      </c>
      <c r="Z35" s="215">
        <v>0</v>
      </c>
      <c r="AA35" s="215">
        <v>0</v>
      </c>
      <c r="AB35" s="215">
        <v>0</v>
      </c>
      <c r="AC35" s="215">
        <v>0</v>
      </c>
      <c r="AD35" s="215">
        <v>0</v>
      </c>
      <c r="AE35" s="215">
        <v>0</v>
      </c>
      <c r="AF35" s="215">
        <v>0</v>
      </c>
      <c r="AG35" s="215">
        <v>0</v>
      </c>
      <c r="AH35" s="148">
        <v>25.79945055</v>
      </c>
      <c r="AI35" s="173">
        <v>25.79945055</v>
      </c>
      <c r="AJ35" s="173">
        <v>25.79945055</v>
      </c>
      <c r="AK35" s="173">
        <v>19.445533649999998</v>
      </c>
      <c r="AL35" s="173">
        <v>19.445533649999998</v>
      </c>
      <c r="AM35" s="79">
        <v>19.445533649999998</v>
      </c>
      <c r="AN35" s="79">
        <v>13.033377210000001</v>
      </c>
      <c r="AO35" s="79">
        <v>13.033377210000001</v>
      </c>
      <c r="AP35" s="79">
        <v>13.033377209999998</v>
      </c>
      <c r="AQ35" s="79">
        <v>6.5466326700000002</v>
      </c>
      <c r="AR35" s="79">
        <v>6.5466326700000002</v>
      </c>
      <c r="AS35" s="79">
        <v>0</v>
      </c>
      <c r="AT35" s="79">
        <v>0</v>
      </c>
      <c r="AU35" s="79">
        <v>0</v>
      </c>
      <c r="AV35" s="79">
        <v>0</v>
      </c>
      <c r="AW35" s="79">
        <v>0</v>
      </c>
      <c r="AX35" s="79">
        <v>0</v>
      </c>
      <c r="AY35" s="79">
        <v>0</v>
      </c>
      <c r="AZ35" s="79">
        <v>0</v>
      </c>
      <c r="BA35" s="79">
        <v>0</v>
      </c>
      <c r="BB35" s="79">
        <v>0</v>
      </c>
      <c r="BC35" s="79">
        <v>0</v>
      </c>
      <c r="BD35" s="79">
        <v>0</v>
      </c>
      <c r="BE35" s="79">
        <v>0</v>
      </c>
      <c r="BF35" s="79">
        <v>0</v>
      </c>
      <c r="BG35" s="79">
        <v>0</v>
      </c>
      <c r="BH35" s="79">
        <v>0</v>
      </c>
      <c r="BI35" s="79">
        <v>0</v>
      </c>
      <c r="BJ35" s="79">
        <v>0</v>
      </c>
      <c r="BK35" s="79">
        <v>0</v>
      </c>
      <c r="BL35" s="79">
        <v>0</v>
      </c>
      <c r="BM35" s="79">
        <v>0</v>
      </c>
      <c r="BN35" s="79">
        <v>0</v>
      </c>
      <c r="BO35" s="79">
        <v>0</v>
      </c>
      <c r="BP35" s="79">
        <v>0</v>
      </c>
      <c r="BQ35" s="79">
        <v>0</v>
      </c>
      <c r="BR35" s="79">
        <v>0</v>
      </c>
      <c r="BS35" s="79">
        <v>0</v>
      </c>
      <c r="BT35" s="79">
        <v>0</v>
      </c>
      <c r="BU35" s="79">
        <v>0</v>
      </c>
      <c r="BV35" s="79">
        <v>0</v>
      </c>
      <c r="BW35" s="79">
        <v>0</v>
      </c>
      <c r="BX35" s="79">
        <v>0</v>
      </c>
      <c r="BY35" s="236">
        <v>0</v>
      </c>
      <c r="BZ35" s="79">
        <v>0</v>
      </c>
      <c r="CA35" s="79">
        <v>0</v>
      </c>
      <c r="CB35" s="236">
        <v>0</v>
      </c>
      <c r="CC35" s="236">
        <v>0</v>
      </c>
      <c r="CD35" s="236">
        <v>0</v>
      </c>
      <c r="CE35" s="236">
        <v>0</v>
      </c>
      <c r="CF35" s="236">
        <v>0</v>
      </c>
      <c r="CG35" s="236">
        <v>0</v>
      </c>
      <c r="CH35" s="236">
        <v>0</v>
      </c>
      <c r="CI35" s="236">
        <v>0</v>
      </c>
      <c r="CJ35" s="236">
        <v>0</v>
      </c>
      <c r="CK35" s="236">
        <v>0</v>
      </c>
    </row>
    <row r="36" spans="1:89" s="20" customFormat="1">
      <c r="A36" s="20" t="s">
        <v>97</v>
      </c>
      <c r="B36" s="160" t="s">
        <v>75</v>
      </c>
      <c r="C36" s="227" t="s">
        <v>97</v>
      </c>
      <c r="D36" s="206">
        <v>1386.9</v>
      </c>
      <c r="E36" s="224">
        <v>1404</v>
      </c>
      <c r="F36" s="224">
        <v>1397.3</v>
      </c>
      <c r="G36" s="224">
        <v>1406.5</v>
      </c>
      <c r="H36" s="224">
        <v>1436.6</v>
      </c>
      <c r="I36" s="224">
        <v>1447</v>
      </c>
      <c r="J36" s="224">
        <v>1457.5</v>
      </c>
      <c r="K36" s="224">
        <v>1467.3000000000002</v>
      </c>
      <c r="L36" s="224">
        <f>SUM(L37:L38)</f>
        <v>1451.8367843648653</v>
      </c>
      <c r="M36" s="224">
        <v>1457.18</v>
      </c>
      <c r="N36" s="224">
        <v>1433.3</v>
      </c>
      <c r="O36" s="224">
        <v>1457.0752499499999</v>
      </c>
      <c r="P36" s="224">
        <v>1447.0000000000002</v>
      </c>
      <c r="Q36" s="224">
        <f>SUM(Q37:Q38)</f>
        <v>1453.86</v>
      </c>
      <c r="R36" s="224">
        <f>SUM(R37:R38)</f>
        <v>1439.1969999999999</v>
      </c>
      <c r="S36" s="224">
        <f>SUM(S37:S38)</f>
        <v>1448.17</v>
      </c>
      <c r="T36" s="224">
        <f>SUM(T37:T38)</f>
        <v>1453.3970000000002</v>
      </c>
      <c r="U36" s="224">
        <v>1442.673</v>
      </c>
      <c r="V36" s="224">
        <v>1456.7534999999998</v>
      </c>
      <c r="W36" s="224">
        <v>1466.683</v>
      </c>
      <c r="X36" s="224">
        <v>1457.28</v>
      </c>
      <c r="Y36" s="224">
        <v>1446.01</v>
      </c>
      <c r="Z36" s="224">
        <f t="shared" ref="Z36:AF36" si="46">SUM(Z37:Z38)</f>
        <v>1456.1680000000001</v>
      </c>
      <c r="AA36" s="206">
        <f t="shared" si="46"/>
        <v>1434.0529534500001</v>
      </c>
      <c r="AB36" s="224">
        <f t="shared" si="46"/>
        <v>1468.0532091700002</v>
      </c>
      <c r="AC36" s="224">
        <f t="shared" si="46"/>
        <v>1617.8376152699998</v>
      </c>
      <c r="AD36" s="224">
        <f t="shared" si="46"/>
        <v>1640.1337942800001</v>
      </c>
      <c r="AE36" s="224">
        <f t="shared" si="46"/>
        <v>1748.4017791700001</v>
      </c>
      <c r="AF36" s="224">
        <f t="shared" si="46"/>
        <v>1902.6632519300001</v>
      </c>
      <c r="AG36" s="224">
        <f t="shared" ref="AG36:AL36" si="47">SUM(AG37:AG38)</f>
        <v>1749.3229374299999</v>
      </c>
      <c r="AH36" s="224">
        <f t="shared" si="47"/>
        <v>1709.5486475299997</v>
      </c>
      <c r="AI36" s="224">
        <f t="shared" si="47"/>
        <v>2221.0814448700003</v>
      </c>
      <c r="AJ36" s="224">
        <f t="shared" si="47"/>
        <v>1833.3582103699998</v>
      </c>
      <c r="AK36" s="224">
        <f t="shared" si="47"/>
        <v>1847.13619505</v>
      </c>
      <c r="AL36" s="224">
        <f t="shared" si="47"/>
        <v>1802.1573622800001</v>
      </c>
      <c r="AM36" s="224">
        <f t="shared" ref="AM36:AU36" si="48">SUM(AM37:AM38)</f>
        <v>1773.7989614400003</v>
      </c>
      <c r="AN36" s="224">
        <f t="shared" si="48"/>
        <v>1780.2887170199999</v>
      </c>
      <c r="AO36" s="224">
        <f t="shared" si="48"/>
        <v>1803.3540758300001</v>
      </c>
      <c r="AP36" s="224">
        <f>SUM(AP37:AP38)</f>
        <v>2032.33150097</v>
      </c>
      <c r="AQ36" s="224">
        <f t="shared" si="48"/>
        <v>2006.8421815399997</v>
      </c>
      <c r="AR36" s="224">
        <f t="shared" si="48"/>
        <v>2295.3216851400002</v>
      </c>
      <c r="AS36" s="224">
        <f t="shared" si="48"/>
        <v>2353.6088386400002</v>
      </c>
      <c r="AT36" s="224">
        <f t="shared" si="48"/>
        <v>2422.4785184699999</v>
      </c>
      <c r="AU36" s="224">
        <f t="shared" si="48"/>
        <v>2447.4296653500001</v>
      </c>
      <c r="AV36" s="224">
        <f>SUM(AV37:AV38)</f>
        <v>2473.10321294</v>
      </c>
      <c r="AW36" s="224">
        <f>SUM(AW37:AW38)</f>
        <v>2414.7233171499997</v>
      </c>
      <c r="AX36" s="224">
        <f>SUM(AX37:AX38)</f>
        <v>2503.5806576300001</v>
      </c>
      <c r="AY36" s="224">
        <f>SUM(AY37:AY38)</f>
        <v>2498.52729568</v>
      </c>
      <c r="AZ36" s="224">
        <v>2564.3972470899994</v>
      </c>
      <c r="BA36" s="224">
        <v>2537.2203031899999</v>
      </c>
      <c r="BB36" s="224">
        <f>SUM(BB37:BB38)</f>
        <v>2617.9618295100004</v>
      </c>
      <c r="BC36" s="224">
        <f>SUM(BC37:BC38)</f>
        <v>2698.8244922000003</v>
      </c>
      <c r="BD36" s="224">
        <f t="shared" ref="BD36:BK36" si="49">SUM(BD37:BD38)</f>
        <v>2688.4922361099998</v>
      </c>
      <c r="BE36" s="224">
        <f t="shared" si="49"/>
        <v>3157.3703323600002</v>
      </c>
      <c r="BF36" s="224">
        <f t="shared" si="49"/>
        <v>3364.5835308299997</v>
      </c>
      <c r="BG36" s="224">
        <f t="shared" si="49"/>
        <v>3394.3380888199995</v>
      </c>
      <c r="BH36" s="224">
        <f t="shared" si="49"/>
        <v>3581.6153747400003</v>
      </c>
      <c r="BI36" s="224">
        <f t="shared" si="49"/>
        <v>3579.0094175899999</v>
      </c>
      <c r="BJ36" s="224">
        <f t="shared" si="49"/>
        <v>3500.1553566399998</v>
      </c>
      <c r="BK36" s="224">
        <f t="shared" si="49"/>
        <v>3505.3763301000004</v>
      </c>
      <c r="BL36" s="224">
        <f t="shared" ref="BL36:BM36" si="50">SUM(BL37:BL38)</f>
        <v>3461.5749307899996</v>
      </c>
      <c r="BM36" s="224">
        <f t="shared" si="50"/>
        <v>3531.43209067</v>
      </c>
      <c r="BN36" s="224">
        <f t="shared" ref="BN36:BW36" si="51">SUM(BN37:BN38)</f>
        <v>3516.4239892000001</v>
      </c>
      <c r="BO36" s="224">
        <f t="shared" si="51"/>
        <v>3542.3952637800003</v>
      </c>
      <c r="BP36" s="224">
        <f t="shared" si="51"/>
        <v>3557.8581884299997</v>
      </c>
      <c r="BQ36" s="224">
        <f t="shared" si="51"/>
        <v>3555.5583653999993</v>
      </c>
      <c r="BR36" s="224">
        <f t="shared" si="51"/>
        <v>3577.0256380299998</v>
      </c>
      <c r="BS36" s="224">
        <f t="shared" si="51"/>
        <v>3620.3218452399997</v>
      </c>
      <c r="BT36" s="224">
        <f t="shared" si="51"/>
        <v>3604.3504232799996</v>
      </c>
      <c r="BU36" s="224">
        <f t="shared" si="51"/>
        <v>3612.5387847399993</v>
      </c>
      <c r="BV36" s="224">
        <f t="shared" si="51"/>
        <v>3532.4845150100005</v>
      </c>
      <c r="BW36" s="224">
        <f t="shared" si="51"/>
        <v>3480.4267455199997</v>
      </c>
      <c r="BX36" s="224">
        <f t="shared" ref="BX36:CC36" si="52">SUM(BX37:BX38)</f>
        <v>3527.4746205600004</v>
      </c>
      <c r="BY36" s="224">
        <f t="shared" si="52"/>
        <v>3539.7644176100002</v>
      </c>
      <c r="BZ36" s="224">
        <f t="shared" si="52"/>
        <v>3519.6316939600001</v>
      </c>
      <c r="CA36" s="224">
        <f t="shared" si="52"/>
        <v>3510.6252069100001</v>
      </c>
      <c r="CB36" s="224">
        <f t="shared" si="52"/>
        <v>3444.42247662</v>
      </c>
      <c r="CC36" s="224">
        <f t="shared" si="52"/>
        <v>3443.2977449999998</v>
      </c>
      <c r="CD36" s="224">
        <f>SUM(CD37:CD38)</f>
        <v>3721.3014537900003</v>
      </c>
      <c r="CE36" s="224">
        <f>SUM(CE37:CE38)</f>
        <v>3812.5046168599997</v>
      </c>
      <c r="CF36" s="224">
        <f t="shared" ref="CF36:CG36" si="53">SUM(CF37:CF38)</f>
        <v>3757.21656304</v>
      </c>
      <c r="CG36" s="224">
        <f t="shared" si="53"/>
        <v>3836.2762222299998</v>
      </c>
      <c r="CH36" s="224">
        <f t="shared" ref="CH36:CI36" si="54">SUM(CH37:CH38)</f>
        <v>3841.2707529600002</v>
      </c>
      <c r="CI36" s="224">
        <f t="shared" si="54"/>
        <v>3906.3026800600001</v>
      </c>
      <c r="CJ36" s="224">
        <f t="shared" ref="CJ36:CK36" si="55">SUM(CJ37:CJ38)</f>
        <v>3910.1207563699995</v>
      </c>
      <c r="CK36" s="224">
        <f t="shared" si="55"/>
        <v>3919.6161777299999</v>
      </c>
    </row>
    <row r="37" spans="1:89">
      <c r="A37" t="s">
        <v>156</v>
      </c>
      <c r="B37" s="161" t="s">
        <v>76</v>
      </c>
      <c r="C37" s="80" t="s">
        <v>115</v>
      </c>
      <c r="D37" s="81">
        <v>401.3</v>
      </c>
      <c r="E37" s="81">
        <v>407.1</v>
      </c>
      <c r="F37" s="81">
        <v>409.4</v>
      </c>
      <c r="G37" s="81">
        <v>413.1</v>
      </c>
      <c r="H37" s="81">
        <v>414.8</v>
      </c>
      <c r="I37" s="81">
        <v>421.9</v>
      </c>
      <c r="J37" s="81">
        <v>420.3</v>
      </c>
      <c r="K37" s="111">
        <v>425.1</v>
      </c>
      <c r="L37" s="77">
        <v>427.16787697565144</v>
      </c>
      <c r="M37" s="111">
        <v>430.3</v>
      </c>
      <c r="N37" s="111">
        <v>422.65</v>
      </c>
      <c r="O37" s="112">
        <v>428.35724994999998</v>
      </c>
      <c r="P37" s="77">
        <v>421.94</v>
      </c>
      <c r="Q37" s="76">
        <v>425.53</v>
      </c>
      <c r="R37" s="112">
        <v>427.44200000000001</v>
      </c>
      <c r="S37" s="111">
        <v>429.64499999999998</v>
      </c>
      <c r="T37" s="111">
        <v>434.12200000000001</v>
      </c>
      <c r="U37" s="111">
        <v>428.72399999999999</v>
      </c>
      <c r="V37" s="111">
        <v>432.99</v>
      </c>
      <c r="W37" s="111">
        <v>440.04399999999998</v>
      </c>
      <c r="X37" s="111">
        <v>440.33</v>
      </c>
      <c r="Y37" s="111">
        <v>436.11</v>
      </c>
      <c r="Z37" s="111">
        <v>438.21199999999999</v>
      </c>
      <c r="AA37" s="111">
        <v>428.90842805</v>
      </c>
      <c r="AB37" s="111">
        <v>438.02014893</v>
      </c>
      <c r="AC37" s="111">
        <v>443.55732977999998</v>
      </c>
      <c r="AD37" s="111">
        <v>456.10034208000002</v>
      </c>
      <c r="AE37" s="111">
        <v>446.62795891000002</v>
      </c>
      <c r="AF37" s="81">
        <v>443.45898004000003</v>
      </c>
      <c r="AG37" s="81">
        <v>435.72984749</v>
      </c>
      <c r="AH37" s="225">
        <v>424.26813745999999</v>
      </c>
      <c r="AI37" s="226">
        <v>420.69835927999998</v>
      </c>
      <c r="AJ37" s="207">
        <v>0</v>
      </c>
      <c r="AK37" s="207">
        <v>0</v>
      </c>
      <c r="AL37" s="207">
        <v>0</v>
      </c>
      <c r="AM37" s="207">
        <v>0</v>
      </c>
      <c r="AN37" s="207">
        <v>0</v>
      </c>
      <c r="AO37" s="207">
        <v>0</v>
      </c>
      <c r="AP37" s="207">
        <v>0</v>
      </c>
      <c r="AQ37" s="207">
        <v>0</v>
      </c>
      <c r="AR37" s="207">
        <v>0</v>
      </c>
      <c r="AS37" s="207">
        <v>0</v>
      </c>
      <c r="AT37" s="207">
        <v>0</v>
      </c>
      <c r="AU37" s="207">
        <v>0</v>
      </c>
      <c r="AV37" s="207">
        <v>0</v>
      </c>
      <c r="AW37" s="207">
        <v>0</v>
      </c>
      <c r="AX37" s="207">
        <v>0</v>
      </c>
      <c r="AY37" s="207">
        <v>0</v>
      </c>
      <c r="AZ37" s="207">
        <v>0</v>
      </c>
      <c r="BA37" s="207">
        <v>0</v>
      </c>
      <c r="BB37" s="207">
        <v>0</v>
      </c>
      <c r="BC37" s="207">
        <v>0</v>
      </c>
      <c r="BD37" s="207">
        <v>0</v>
      </c>
      <c r="BE37" s="207">
        <v>0</v>
      </c>
      <c r="BF37" s="207">
        <v>0</v>
      </c>
      <c r="BG37" s="207">
        <v>0</v>
      </c>
      <c r="BH37" s="207">
        <v>0</v>
      </c>
      <c r="BI37" s="207">
        <v>0</v>
      </c>
      <c r="BJ37" s="207">
        <v>0</v>
      </c>
      <c r="BK37" s="207">
        <v>0</v>
      </c>
      <c r="BL37" s="207">
        <v>0</v>
      </c>
      <c r="BM37" s="207">
        <v>0</v>
      </c>
      <c r="BN37" s="207">
        <v>0</v>
      </c>
      <c r="BO37" s="207">
        <v>0</v>
      </c>
      <c r="BP37" s="207">
        <v>0</v>
      </c>
      <c r="BQ37" s="207">
        <v>0</v>
      </c>
      <c r="BR37" s="207">
        <v>0</v>
      </c>
      <c r="BS37" s="207">
        <v>0</v>
      </c>
      <c r="BT37" s="207">
        <v>0</v>
      </c>
      <c r="BU37" s="207">
        <v>0</v>
      </c>
      <c r="BV37" s="207">
        <v>0</v>
      </c>
      <c r="BW37" s="207">
        <v>0</v>
      </c>
      <c r="BX37" s="207">
        <v>0</v>
      </c>
      <c r="BY37" s="207">
        <v>0</v>
      </c>
      <c r="BZ37" s="201">
        <v>0</v>
      </c>
      <c r="CA37" s="201">
        <v>0</v>
      </c>
      <c r="CB37" s="201">
        <v>0</v>
      </c>
      <c r="CC37" s="201">
        <v>0</v>
      </c>
      <c r="CD37" s="201">
        <v>0</v>
      </c>
      <c r="CE37" s="201">
        <v>0</v>
      </c>
      <c r="CF37" s="201">
        <v>0</v>
      </c>
      <c r="CG37" s="201">
        <v>0</v>
      </c>
      <c r="CH37" s="201">
        <v>0</v>
      </c>
      <c r="CI37" s="201">
        <v>0</v>
      </c>
      <c r="CJ37" s="201">
        <v>0</v>
      </c>
      <c r="CK37" s="201">
        <v>0</v>
      </c>
    </row>
    <row r="38" spans="1:89">
      <c r="A38" t="s">
        <v>157</v>
      </c>
      <c r="B38" s="161" t="s">
        <v>77</v>
      </c>
      <c r="C38" s="80" t="s">
        <v>116</v>
      </c>
      <c r="D38" s="81">
        <v>985.6</v>
      </c>
      <c r="E38" s="81">
        <v>996.9</v>
      </c>
      <c r="F38" s="81">
        <v>987.9</v>
      </c>
      <c r="G38" s="81">
        <v>993.5</v>
      </c>
      <c r="H38" s="81">
        <v>1021.9</v>
      </c>
      <c r="I38" s="81">
        <v>1025.0999999999999</v>
      </c>
      <c r="J38" s="81">
        <v>1037.2</v>
      </c>
      <c r="K38" s="111">
        <v>1042.2</v>
      </c>
      <c r="L38" s="77">
        <f>SUM(L39:L47)</f>
        <v>1024.6689073892137</v>
      </c>
      <c r="M38" s="111">
        <v>1026.8799999999999</v>
      </c>
      <c r="N38" s="111">
        <v>1010.65</v>
      </c>
      <c r="O38" s="112">
        <v>1028.7180000000001</v>
      </c>
      <c r="P38" s="76">
        <v>1025.06</v>
      </c>
      <c r="Q38" s="76">
        <f>SUM(Q39:Q49)</f>
        <v>1028.33</v>
      </c>
      <c r="R38" s="76">
        <f t="shared" ref="R38:BV38" si="56">SUM(R39:R49)</f>
        <v>1011.7549999999999</v>
      </c>
      <c r="S38" s="76">
        <f t="shared" si="56"/>
        <v>1018.525</v>
      </c>
      <c r="T38" s="76">
        <f t="shared" si="56"/>
        <v>1019.2750000000002</v>
      </c>
      <c r="U38" s="76">
        <f t="shared" si="56"/>
        <v>1013.949</v>
      </c>
      <c r="V38" s="76">
        <f t="shared" si="56"/>
        <v>1023.7634999999999</v>
      </c>
      <c r="W38" s="76">
        <f t="shared" si="56"/>
        <v>1026.6389999999999</v>
      </c>
      <c r="X38" s="76">
        <f t="shared" si="56"/>
        <v>1016.9499999999998</v>
      </c>
      <c r="Y38" s="76">
        <f t="shared" si="56"/>
        <v>1009.9</v>
      </c>
      <c r="Z38" s="76">
        <f t="shared" si="56"/>
        <v>1017.956</v>
      </c>
      <c r="AA38" s="76">
        <f t="shared" si="56"/>
        <v>1005.1445254</v>
      </c>
      <c r="AB38" s="76">
        <f t="shared" si="56"/>
        <v>1030.0330602400002</v>
      </c>
      <c r="AC38" s="76">
        <f t="shared" si="56"/>
        <v>1174.2802854899999</v>
      </c>
      <c r="AD38" s="76">
        <f t="shared" si="56"/>
        <v>1184.0334522000001</v>
      </c>
      <c r="AE38" s="76">
        <f t="shared" si="56"/>
        <v>1301.7738202600001</v>
      </c>
      <c r="AF38" s="76">
        <f t="shared" si="56"/>
        <v>1459.2042718900002</v>
      </c>
      <c r="AG38" s="76">
        <f t="shared" si="56"/>
        <v>1313.59308994</v>
      </c>
      <c r="AH38" s="76">
        <f t="shared" si="56"/>
        <v>1285.2805100699998</v>
      </c>
      <c r="AI38" s="76">
        <f t="shared" si="56"/>
        <v>1800.3830855900001</v>
      </c>
      <c r="AJ38" s="76">
        <f t="shared" si="56"/>
        <v>1833.3582103699998</v>
      </c>
      <c r="AK38" s="76">
        <f t="shared" si="56"/>
        <v>1847.13619505</v>
      </c>
      <c r="AL38" s="76">
        <f t="shared" si="56"/>
        <v>1802.1573622800001</v>
      </c>
      <c r="AM38" s="76">
        <f t="shared" si="56"/>
        <v>1773.7989614400003</v>
      </c>
      <c r="AN38" s="76">
        <f t="shared" si="56"/>
        <v>1780.2887170199999</v>
      </c>
      <c r="AO38" s="76">
        <f t="shared" si="56"/>
        <v>1803.3540758300001</v>
      </c>
      <c r="AP38" s="76">
        <f t="shared" si="56"/>
        <v>2032.33150097</v>
      </c>
      <c r="AQ38" s="76">
        <f t="shared" si="56"/>
        <v>2006.8421815399997</v>
      </c>
      <c r="AR38" s="76">
        <f t="shared" si="56"/>
        <v>2295.3216851400002</v>
      </c>
      <c r="AS38" s="76">
        <f t="shared" si="56"/>
        <v>2353.6088386400002</v>
      </c>
      <c r="AT38" s="76">
        <f t="shared" si="56"/>
        <v>2422.4785184699999</v>
      </c>
      <c r="AU38" s="76">
        <f t="shared" si="56"/>
        <v>2447.4296653500001</v>
      </c>
      <c r="AV38" s="76">
        <f t="shared" si="56"/>
        <v>2473.10321294</v>
      </c>
      <c r="AW38" s="76">
        <f t="shared" si="56"/>
        <v>2414.7233171499997</v>
      </c>
      <c r="AX38" s="76">
        <f t="shared" si="56"/>
        <v>2503.5806576300001</v>
      </c>
      <c r="AY38" s="76">
        <f t="shared" si="56"/>
        <v>2498.52729568</v>
      </c>
      <c r="AZ38" s="76">
        <f t="shared" si="56"/>
        <v>2564.3972470899994</v>
      </c>
      <c r="BA38" s="76">
        <f t="shared" si="56"/>
        <v>2537.2203031899999</v>
      </c>
      <c r="BB38" s="76">
        <f t="shared" si="56"/>
        <v>2617.9618295100004</v>
      </c>
      <c r="BC38" s="76">
        <f t="shared" si="56"/>
        <v>2698.8244922000003</v>
      </c>
      <c r="BD38" s="76">
        <f t="shared" si="56"/>
        <v>2688.4922361099998</v>
      </c>
      <c r="BE38" s="76">
        <f t="shared" si="56"/>
        <v>3157.3703323600002</v>
      </c>
      <c r="BF38" s="76">
        <f t="shared" si="56"/>
        <v>3364.5835308299997</v>
      </c>
      <c r="BG38" s="76">
        <f t="shared" si="56"/>
        <v>3394.3380888199995</v>
      </c>
      <c r="BH38" s="76">
        <f t="shared" si="56"/>
        <v>3581.6153747400003</v>
      </c>
      <c r="BI38" s="76">
        <f t="shared" si="56"/>
        <v>3579.0094175899999</v>
      </c>
      <c r="BJ38" s="76">
        <f t="shared" si="56"/>
        <v>3500.1553566399998</v>
      </c>
      <c r="BK38" s="76">
        <f t="shared" si="56"/>
        <v>3505.3763301000004</v>
      </c>
      <c r="BL38" s="76">
        <f t="shared" si="56"/>
        <v>3461.5749307899996</v>
      </c>
      <c r="BM38" s="76">
        <f t="shared" si="56"/>
        <v>3531.43209067</v>
      </c>
      <c r="BN38" s="76">
        <f t="shared" si="56"/>
        <v>3516.4239892000001</v>
      </c>
      <c r="BO38" s="76">
        <f t="shared" si="56"/>
        <v>3542.3952637800003</v>
      </c>
      <c r="BP38" s="76">
        <f t="shared" si="56"/>
        <v>3557.8581884299997</v>
      </c>
      <c r="BQ38" s="76">
        <f t="shared" si="56"/>
        <v>3555.5583653999993</v>
      </c>
      <c r="BR38" s="76">
        <f t="shared" si="56"/>
        <v>3577.0256380299998</v>
      </c>
      <c r="BS38" s="76">
        <f t="shared" si="56"/>
        <v>3620.3218452399997</v>
      </c>
      <c r="BT38" s="76">
        <f t="shared" si="56"/>
        <v>3604.3504232799996</v>
      </c>
      <c r="BU38" s="76">
        <f t="shared" si="56"/>
        <v>3612.5387847399993</v>
      </c>
      <c r="BV38" s="76">
        <f t="shared" si="56"/>
        <v>3532.4845150100005</v>
      </c>
      <c r="BW38" s="76">
        <f t="shared" ref="BW38" si="57">SUM(BW39:BW49)</f>
        <v>3480.4267455199997</v>
      </c>
      <c r="BX38" s="76">
        <f t="shared" ref="BX38:CB38" si="58">SUM(BX39:BX49)</f>
        <v>3527.4746205600004</v>
      </c>
      <c r="BY38" s="76">
        <f>SUM(BY39:BY49)</f>
        <v>3539.7644176100002</v>
      </c>
      <c r="BZ38" s="76">
        <f t="shared" si="58"/>
        <v>3519.6316939600001</v>
      </c>
      <c r="CA38" s="76">
        <f t="shared" si="58"/>
        <v>3510.6252069100001</v>
      </c>
      <c r="CB38" s="76">
        <f t="shared" si="58"/>
        <v>3444.42247662</v>
      </c>
      <c r="CC38" s="76">
        <f>SUM(CC39:CC49)</f>
        <v>3443.2977449999998</v>
      </c>
      <c r="CD38" s="76">
        <f>SUM(CD39:CD49)</f>
        <v>3721.3014537900003</v>
      </c>
      <c r="CE38" s="76">
        <f>SUM(CE39:CE49)</f>
        <v>3812.5046168599997</v>
      </c>
      <c r="CF38" s="76">
        <f t="shared" ref="CF38:CG38" si="59">SUM(CF39:CF49)</f>
        <v>3757.21656304</v>
      </c>
      <c r="CG38" s="76">
        <f t="shared" si="59"/>
        <v>3836.2762222299998</v>
      </c>
      <c r="CH38" s="76">
        <f>SUM(CH39:CH49)</f>
        <v>3841.2707529600002</v>
      </c>
      <c r="CI38" s="76">
        <f>SUM(CI39:CI49)</f>
        <v>3906.3026800600001</v>
      </c>
      <c r="CJ38" s="76">
        <f>SUM(CJ39:CJ49)</f>
        <v>3910.1207563699995</v>
      </c>
      <c r="CK38" s="76">
        <f>SUM(CK39:CK49)</f>
        <v>3919.6161777299999</v>
      </c>
    </row>
    <row r="39" spans="1:89">
      <c r="A39" s="1" t="s">
        <v>158</v>
      </c>
      <c r="B39" s="162" t="s">
        <v>184</v>
      </c>
      <c r="C39" s="45" t="s">
        <v>117</v>
      </c>
      <c r="D39" s="107">
        <v>341.5</v>
      </c>
      <c r="E39" s="107">
        <v>342</v>
      </c>
      <c r="F39" s="107">
        <v>342.9</v>
      </c>
      <c r="G39" s="107">
        <v>345.9</v>
      </c>
      <c r="H39" s="107">
        <v>347.3</v>
      </c>
      <c r="I39" s="107">
        <v>353.3</v>
      </c>
      <c r="J39" s="107">
        <v>383.6</v>
      </c>
      <c r="K39" s="86">
        <v>382</v>
      </c>
      <c r="L39" s="84">
        <v>382.62778872010682</v>
      </c>
      <c r="M39" s="86">
        <v>385.43</v>
      </c>
      <c r="N39" s="86">
        <v>378.58</v>
      </c>
      <c r="O39" s="108">
        <v>383.48</v>
      </c>
      <c r="P39" s="84">
        <v>378.03</v>
      </c>
      <c r="Q39" s="79">
        <v>375.06</v>
      </c>
      <c r="R39" s="86">
        <v>377.13799999999998</v>
      </c>
      <c r="S39" s="84">
        <v>380.35</v>
      </c>
      <c r="T39" s="86">
        <v>385.01100000000002</v>
      </c>
      <c r="U39" s="86">
        <v>385.45</v>
      </c>
      <c r="V39" s="86">
        <v>389.2885</v>
      </c>
      <c r="W39" s="86">
        <v>395.57400000000001</v>
      </c>
      <c r="X39" s="86">
        <v>402.44</v>
      </c>
      <c r="Y39" s="86">
        <v>397.18</v>
      </c>
      <c r="Z39" s="86">
        <v>400.791</v>
      </c>
      <c r="AA39" s="86">
        <v>397.98232899999999</v>
      </c>
      <c r="AB39" s="86">
        <v>406.82390513000007</v>
      </c>
      <c r="AC39" s="86">
        <v>548.87512507999998</v>
      </c>
      <c r="AD39" s="86">
        <v>565.40634728999999</v>
      </c>
      <c r="AE39" s="86">
        <v>552.21045189999995</v>
      </c>
      <c r="AF39" s="107">
        <v>549.05485491000002</v>
      </c>
      <c r="AG39" s="107">
        <v>538.99445262000006</v>
      </c>
      <c r="AH39" s="215">
        <v>525.42088840000008</v>
      </c>
      <c r="AI39" s="214">
        <v>934.81983381999999</v>
      </c>
      <c r="AJ39" s="214">
        <v>947.47632531999989</v>
      </c>
      <c r="AK39" s="214">
        <v>951.61817890999987</v>
      </c>
      <c r="AL39" s="173">
        <v>923.67444082000009</v>
      </c>
      <c r="AM39" s="173">
        <v>907.88159904999998</v>
      </c>
      <c r="AN39" s="173">
        <v>909.14324795000005</v>
      </c>
      <c r="AO39" s="173">
        <v>891.11585976999993</v>
      </c>
      <c r="AP39" s="184">
        <v>914.61546548000001</v>
      </c>
      <c r="AQ39" s="184">
        <v>899.34646943999996</v>
      </c>
      <c r="AR39" s="79">
        <v>904.90410530999998</v>
      </c>
      <c r="AS39" s="79">
        <v>921.08073779999995</v>
      </c>
      <c r="AT39" s="79">
        <v>932.38648256999988</v>
      </c>
      <c r="AU39" s="79">
        <v>930.39293472000008</v>
      </c>
      <c r="AV39" s="79">
        <v>943.01503226</v>
      </c>
      <c r="AW39" s="184">
        <v>920.98473217999992</v>
      </c>
      <c r="AX39" s="184">
        <v>955.86969019000003</v>
      </c>
      <c r="AY39" s="184">
        <v>957.46239105999996</v>
      </c>
      <c r="AZ39" s="184">
        <v>982.91311889999997</v>
      </c>
      <c r="BA39" s="184">
        <v>966.20973063999998</v>
      </c>
      <c r="BB39" s="184">
        <v>950.05888955</v>
      </c>
      <c r="BC39" s="203">
        <v>993.00777316999995</v>
      </c>
      <c r="BD39" s="203">
        <v>988.93952092999996</v>
      </c>
      <c r="BE39" s="203">
        <v>1353.3343708700002</v>
      </c>
      <c r="BF39" s="203">
        <v>1349.3677491199999</v>
      </c>
      <c r="BG39" s="203">
        <v>1371.1677096799999</v>
      </c>
      <c r="BH39" s="203">
        <v>1424.6409839999999</v>
      </c>
      <c r="BI39" s="203">
        <v>1433.99696017</v>
      </c>
      <c r="BJ39" s="203">
        <v>1391.92586446</v>
      </c>
      <c r="BK39" s="203">
        <v>1388.1333193500002</v>
      </c>
      <c r="BL39" s="203">
        <v>1359.6093297499999</v>
      </c>
      <c r="BM39" s="203">
        <v>1399.30279793</v>
      </c>
      <c r="BN39" s="203">
        <v>1402.6308555200001</v>
      </c>
      <c r="BO39" s="203">
        <v>1417.3618288999999</v>
      </c>
      <c r="BP39" s="203">
        <v>1436.8489360399997</v>
      </c>
      <c r="BQ39" s="107">
        <v>1432.4845303299999</v>
      </c>
      <c r="BR39" s="107">
        <v>1419.1184587600001</v>
      </c>
      <c r="BS39" s="107">
        <v>1441.4015402499999</v>
      </c>
      <c r="BT39" s="107">
        <v>1447.7204988599999</v>
      </c>
      <c r="BU39" s="107">
        <v>1439.3444339499997</v>
      </c>
      <c r="BV39" s="107">
        <v>1404.6722185800002</v>
      </c>
      <c r="BW39" s="107">
        <v>1378.5555354699998</v>
      </c>
      <c r="BX39" s="107">
        <v>1400.46352391</v>
      </c>
      <c r="BY39" s="86">
        <v>1405.15145603</v>
      </c>
      <c r="BZ39" s="237">
        <v>1407.6194167199999</v>
      </c>
      <c r="CA39" s="79">
        <v>1393.4399154599998</v>
      </c>
      <c r="CB39" s="79">
        <v>1381.4177788500001</v>
      </c>
      <c r="CC39" s="236">
        <v>1375.9196196399998</v>
      </c>
      <c r="CD39" s="236">
        <v>1388.3142872400003</v>
      </c>
      <c r="CE39" s="236">
        <v>1501.7466359699997</v>
      </c>
      <c r="CF39" s="236">
        <v>1487.6118842599999</v>
      </c>
      <c r="CG39" s="236">
        <v>1520.7199334000002</v>
      </c>
      <c r="CH39" s="236">
        <v>1529.0493178199999</v>
      </c>
      <c r="CI39" s="236">
        <v>1556.4179672600003</v>
      </c>
      <c r="CJ39" s="236">
        <v>1548.3576328499998</v>
      </c>
      <c r="CK39" s="236">
        <v>1542.8357813200003</v>
      </c>
    </row>
    <row r="40" spans="1:89" s="46" customFormat="1">
      <c r="A40" s="126" t="s">
        <v>241</v>
      </c>
      <c r="B40" s="165" t="s">
        <v>239</v>
      </c>
      <c r="C40" s="126" t="s">
        <v>241</v>
      </c>
      <c r="D40" s="86">
        <v>0</v>
      </c>
      <c r="E40" s="86">
        <v>0</v>
      </c>
      <c r="F40" s="86">
        <v>0</v>
      </c>
      <c r="G40" s="86">
        <v>0</v>
      </c>
      <c r="H40" s="86">
        <v>0</v>
      </c>
      <c r="I40" s="86">
        <v>0</v>
      </c>
      <c r="J40" s="86">
        <v>0</v>
      </c>
      <c r="K40" s="86">
        <v>0</v>
      </c>
      <c r="L40" s="86">
        <v>0</v>
      </c>
      <c r="M40" s="86">
        <v>0</v>
      </c>
      <c r="N40" s="86">
        <v>0</v>
      </c>
      <c r="O40" s="86">
        <v>0</v>
      </c>
      <c r="P40" s="86">
        <v>0</v>
      </c>
      <c r="Q40" s="86">
        <v>0</v>
      </c>
      <c r="R40" s="86">
        <v>0</v>
      </c>
      <c r="S40" s="86">
        <v>0</v>
      </c>
      <c r="T40" s="86">
        <v>0</v>
      </c>
      <c r="U40" s="86">
        <v>0</v>
      </c>
      <c r="V40" s="86">
        <v>0</v>
      </c>
      <c r="W40" s="86">
        <v>0</v>
      </c>
      <c r="X40" s="86">
        <v>0</v>
      </c>
      <c r="Y40" s="86">
        <v>0</v>
      </c>
      <c r="Z40" s="86">
        <v>0</v>
      </c>
      <c r="AA40" s="86">
        <v>0</v>
      </c>
      <c r="AB40" s="86">
        <v>0</v>
      </c>
      <c r="AC40" s="86">
        <v>0</v>
      </c>
      <c r="AD40" s="86">
        <v>0</v>
      </c>
      <c r="AE40" s="86">
        <v>0</v>
      </c>
      <c r="AF40" s="86">
        <v>0</v>
      </c>
      <c r="AG40" s="86">
        <v>0</v>
      </c>
      <c r="AH40" s="108">
        <v>0</v>
      </c>
      <c r="AI40" s="79">
        <v>105.17458981999999</v>
      </c>
      <c r="AJ40" s="79">
        <v>106.76916507</v>
      </c>
      <c r="AK40" s="79">
        <v>107.08931249</v>
      </c>
      <c r="AL40" s="184">
        <v>103.92849719</v>
      </c>
      <c r="AM40" s="184">
        <v>101.95758564</v>
      </c>
      <c r="AN40" s="184">
        <v>102.06164523000001</v>
      </c>
      <c r="AO40" s="184">
        <v>100.78613183</v>
      </c>
      <c r="AP40" s="184">
        <v>103.56255178000001</v>
      </c>
      <c r="AQ40" s="184">
        <v>101.77081213</v>
      </c>
      <c r="AR40" s="79">
        <v>101.97838057999999</v>
      </c>
      <c r="AS40" s="79">
        <v>103.82059801</v>
      </c>
      <c r="AT40" s="79">
        <v>104.21008754</v>
      </c>
      <c r="AU40" s="79">
        <v>104.7339757</v>
      </c>
      <c r="AV40" s="79">
        <v>105.93220339</v>
      </c>
      <c r="AW40" s="184">
        <v>103.19917441</v>
      </c>
      <c r="AX40" s="184">
        <v>106.51896037</v>
      </c>
      <c r="AY40" s="184">
        <v>105.88733587</v>
      </c>
      <c r="AZ40" s="184">
        <v>108.22510823</v>
      </c>
      <c r="BA40" s="184">
        <v>107.02054795000001</v>
      </c>
      <c r="BB40" s="184">
        <v>104.58063167</v>
      </c>
      <c r="BC40" s="202">
        <v>108.76658690000001</v>
      </c>
      <c r="BD40" s="202">
        <v>107.82833729000001</v>
      </c>
      <c r="BE40" s="202">
        <v>111.03708639</v>
      </c>
      <c r="BF40" s="202">
        <v>110.27790031000001</v>
      </c>
      <c r="BG40" s="202">
        <v>111.78180192000001</v>
      </c>
      <c r="BH40" s="202">
        <v>231.26734506</v>
      </c>
      <c r="BI40" s="202">
        <v>231.64234422000001</v>
      </c>
      <c r="BJ40" s="202">
        <v>224.46689113999997</v>
      </c>
      <c r="BK40" s="202">
        <v>221.68033696000001</v>
      </c>
      <c r="BL40" s="202">
        <v>217.81746896000001</v>
      </c>
      <c r="BM40" s="202">
        <v>223.81378691999998</v>
      </c>
      <c r="BN40" s="202">
        <v>222.81639928000001</v>
      </c>
      <c r="BO40" s="202">
        <v>224.56770716</v>
      </c>
      <c r="BP40" s="202">
        <v>227.16946841999999</v>
      </c>
      <c r="BQ40" s="86">
        <v>226.039783</v>
      </c>
      <c r="BR40" s="86">
        <v>224.51728783999999</v>
      </c>
      <c r="BS40" s="86">
        <v>228.41480128000001</v>
      </c>
      <c r="BT40" s="86">
        <v>229.46305644</v>
      </c>
      <c r="BU40" s="86">
        <v>231.00023100000001</v>
      </c>
      <c r="BV40" s="86">
        <v>225.52999548</v>
      </c>
      <c r="BW40" s="86">
        <v>215.56342705</v>
      </c>
      <c r="BX40" s="86">
        <v>219.94578720999999</v>
      </c>
      <c r="BY40" s="86">
        <v>221.44644076</v>
      </c>
      <c r="BZ40" s="236">
        <v>221.90063809999998</v>
      </c>
      <c r="CA40" s="79">
        <v>222.10310218999999</v>
      </c>
      <c r="CB40" s="79">
        <v>220.59356593000001</v>
      </c>
      <c r="CC40" s="236">
        <v>214.78122874000002</v>
      </c>
      <c r="CD40" s="236">
        <v>216.74673987</v>
      </c>
      <c r="CE40" s="236">
        <v>210.90828138999998</v>
      </c>
      <c r="CF40" s="236">
        <v>209.18525061000003</v>
      </c>
      <c r="CG40" s="236">
        <v>215.80865604000002</v>
      </c>
      <c r="CH40" s="236">
        <v>217.24375143</v>
      </c>
      <c r="CI40" s="236">
        <v>216.27142522</v>
      </c>
      <c r="CJ40" s="236">
        <v>215.86594797000001</v>
      </c>
      <c r="CK40" s="236">
        <v>215.86594797000001</v>
      </c>
    </row>
    <row r="41" spans="1:89">
      <c r="A41" s="1" t="s">
        <v>159</v>
      </c>
      <c r="B41" s="162" t="s">
        <v>185</v>
      </c>
      <c r="C41" s="45" t="s">
        <v>118</v>
      </c>
      <c r="D41" s="107">
        <v>522.20000000000005</v>
      </c>
      <c r="E41" s="107">
        <v>530.29999999999995</v>
      </c>
      <c r="F41" s="107">
        <v>515.79999999999995</v>
      </c>
      <c r="G41" s="107">
        <v>517.5</v>
      </c>
      <c r="H41" s="107">
        <v>512.70000000000005</v>
      </c>
      <c r="I41" s="107">
        <v>506.8</v>
      </c>
      <c r="J41" s="107">
        <v>489.3</v>
      </c>
      <c r="K41" s="86">
        <v>492.8</v>
      </c>
      <c r="L41" s="84">
        <v>473.63997370632717</v>
      </c>
      <c r="M41" s="86">
        <v>471.84</v>
      </c>
      <c r="N41" s="86">
        <v>465.11</v>
      </c>
      <c r="O41" s="108">
        <v>475.774</v>
      </c>
      <c r="P41" s="84">
        <v>479.95</v>
      </c>
      <c r="Q41" s="79">
        <v>486.17</v>
      </c>
      <c r="R41" s="86">
        <v>465.89400000000001</v>
      </c>
      <c r="S41" s="86">
        <v>468.67899999999997</v>
      </c>
      <c r="T41" s="86">
        <v>462.01400000000001</v>
      </c>
      <c r="U41" s="86">
        <v>457.91500000000002</v>
      </c>
      <c r="V41" s="86">
        <v>461.97800000000001</v>
      </c>
      <c r="W41" s="86">
        <v>452.411</v>
      </c>
      <c r="X41" s="86">
        <v>435.88</v>
      </c>
      <c r="Y41" s="86">
        <v>435.83</v>
      </c>
      <c r="Z41" s="86">
        <v>439.16500000000002</v>
      </c>
      <c r="AA41" s="86">
        <v>432.84239622000001</v>
      </c>
      <c r="AB41" s="86">
        <v>445.22376871000006</v>
      </c>
      <c r="AC41" s="86">
        <v>446.49249363000001</v>
      </c>
      <c r="AD41" s="86">
        <v>433.99565707000005</v>
      </c>
      <c r="AE41" s="86">
        <v>426.39491268</v>
      </c>
      <c r="AF41" s="107">
        <v>419.25084649000001</v>
      </c>
      <c r="AG41" s="107">
        <v>415.74225532000003</v>
      </c>
      <c r="AH41" s="215">
        <v>408.98498087000002</v>
      </c>
      <c r="AI41" s="214">
        <v>414.00988977999998</v>
      </c>
      <c r="AJ41" s="214">
        <v>427.62302168000002</v>
      </c>
      <c r="AK41" s="214">
        <v>435.39748971000006</v>
      </c>
      <c r="AL41" s="173">
        <v>431.42069145000005</v>
      </c>
      <c r="AM41" s="173">
        <v>426.7140387</v>
      </c>
      <c r="AN41" s="173">
        <v>432.02146082999997</v>
      </c>
      <c r="AO41" s="173">
        <v>426.2743059</v>
      </c>
      <c r="AP41" s="184">
        <v>434.30612772000001</v>
      </c>
      <c r="AQ41" s="184">
        <v>433.37736438999997</v>
      </c>
      <c r="AR41" s="79">
        <v>441.34426827999999</v>
      </c>
      <c r="AS41" s="79">
        <v>442.67694934000002</v>
      </c>
      <c r="AT41" s="79">
        <v>444.84903586999997</v>
      </c>
      <c r="AU41" s="79">
        <v>446.37643926999999</v>
      </c>
      <c r="AV41" s="79">
        <v>451.16990024</v>
      </c>
      <c r="AW41" s="184">
        <v>444.97831486000001</v>
      </c>
      <c r="AX41" s="184">
        <v>459.56557836000002</v>
      </c>
      <c r="AY41" s="184">
        <v>457.91630997999994</v>
      </c>
      <c r="AZ41" s="184">
        <v>473.20731472999995</v>
      </c>
      <c r="BA41" s="184">
        <v>471.17115249</v>
      </c>
      <c r="BB41" s="184">
        <v>434.83232597</v>
      </c>
      <c r="BC41" s="203">
        <v>433.23346777999996</v>
      </c>
      <c r="BD41" s="203">
        <v>427.27186104000003</v>
      </c>
      <c r="BE41" s="203">
        <v>437.39779346000006</v>
      </c>
      <c r="BF41" s="203">
        <v>431.36412879</v>
      </c>
      <c r="BG41" s="203">
        <v>426.82962216999999</v>
      </c>
      <c r="BH41" s="203">
        <v>402.91462344999997</v>
      </c>
      <c r="BI41" s="203">
        <v>396.48013776999994</v>
      </c>
      <c r="BJ41" s="203">
        <v>389.19569317000003</v>
      </c>
      <c r="BK41" s="203">
        <v>395.15491926000004</v>
      </c>
      <c r="BL41" s="203">
        <v>400.6001430799999</v>
      </c>
      <c r="BM41" s="203">
        <v>400.04500913999999</v>
      </c>
      <c r="BN41" s="203">
        <v>374.74470646999998</v>
      </c>
      <c r="BO41" s="203">
        <v>374.85409613999997</v>
      </c>
      <c r="BP41" s="203">
        <v>370.83685721999996</v>
      </c>
      <c r="BQ41" s="107">
        <v>360.46226156</v>
      </c>
      <c r="BR41" s="107">
        <v>362.95265810999996</v>
      </c>
      <c r="BS41" s="107">
        <v>362.3609184</v>
      </c>
      <c r="BT41" s="107">
        <v>336.3169815</v>
      </c>
      <c r="BU41" s="107">
        <v>338.01662512000007</v>
      </c>
      <c r="BV41" s="107">
        <v>338.45492746000002</v>
      </c>
      <c r="BW41" s="107">
        <v>333.19653624</v>
      </c>
      <c r="BX41" s="107">
        <v>336.77207891</v>
      </c>
      <c r="BY41" s="86">
        <v>338.12342342999995</v>
      </c>
      <c r="BZ41" s="236">
        <v>310.46293980999997</v>
      </c>
      <c r="CA41" s="236">
        <v>310.53148331</v>
      </c>
      <c r="CB41" s="236">
        <v>307.69770640000002</v>
      </c>
      <c r="CC41" s="236">
        <v>307.07392354000001</v>
      </c>
      <c r="CD41" s="236">
        <v>310.63925573000006</v>
      </c>
      <c r="CE41" s="236">
        <v>308.81723890000006</v>
      </c>
      <c r="CF41" s="236">
        <v>283.11706197000001</v>
      </c>
      <c r="CG41" s="236">
        <v>287.79383644000001</v>
      </c>
      <c r="CH41" s="236">
        <v>284.55088370999999</v>
      </c>
      <c r="CI41" s="236">
        <v>289.17318800999999</v>
      </c>
      <c r="CJ41" s="236">
        <v>290.81021152000005</v>
      </c>
      <c r="CK41" s="236">
        <v>289.14528541999999</v>
      </c>
    </row>
    <row r="42" spans="1:89">
      <c r="A42" s="1" t="s">
        <v>160</v>
      </c>
      <c r="B42" s="162" t="s">
        <v>186</v>
      </c>
      <c r="C42" s="45" t="s">
        <v>119</v>
      </c>
      <c r="D42" s="107">
        <v>0</v>
      </c>
      <c r="E42" s="107">
        <v>0</v>
      </c>
      <c r="F42" s="107">
        <v>0</v>
      </c>
      <c r="G42" s="107">
        <v>0</v>
      </c>
      <c r="H42" s="107">
        <v>0</v>
      </c>
      <c r="I42" s="107">
        <v>0</v>
      </c>
      <c r="J42" s="107">
        <v>0</v>
      </c>
      <c r="K42" s="86">
        <v>0</v>
      </c>
      <c r="L42" s="84">
        <v>0</v>
      </c>
      <c r="M42" s="108">
        <v>0</v>
      </c>
      <c r="N42" s="108">
        <v>0</v>
      </c>
      <c r="O42" s="108">
        <v>0</v>
      </c>
      <c r="P42" s="79">
        <v>0</v>
      </c>
      <c r="Q42" s="79">
        <v>0</v>
      </c>
      <c r="R42" s="86">
        <v>0</v>
      </c>
      <c r="S42" s="86">
        <v>0</v>
      </c>
      <c r="T42" s="86">
        <v>0</v>
      </c>
      <c r="U42" s="86">
        <v>0</v>
      </c>
      <c r="V42" s="86">
        <v>0</v>
      </c>
      <c r="W42" s="86">
        <v>0</v>
      </c>
      <c r="X42" s="86">
        <v>0</v>
      </c>
      <c r="Y42" s="86">
        <v>0</v>
      </c>
      <c r="Z42" s="86">
        <v>0</v>
      </c>
      <c r="AA42" s="86">
        <v>0</v>
      </c>
      <c r="AB42" s="86">
        <v>0</v>
      </c>
      <c r="AC42" s="86">
        <v>0</v>
      </c>
      <c r="AD42" s="86">
        <v>0</v>
      </c>
      <c r="AE42" s="86">
        <v>0</v>
      </c>
      <c r="AF42" s="86">
        <v>0</v>
      </c>
      <c r="AG42" s="86">
        <v>0</v>
      </c>
      <c r="AH42" s="215">
        <v>0</v>
      </c>
      <c r="AI42" s="214">
        <v>0</v>
      </c>
      <c r="AJ42" s="214">
        <v>0</v>
      </c>
      <c r="AK42" s="214">
        <v>0</v>
      </c>
      <c r="AL42" s="173">
        <v>0</v>
      </c>
      <c r="AM42" s="173">
        <v>0</v>
      </c>
      <c r="AN42" s="173">
        <v>0</v>
      </c>
      <c r="AO42" s="173">
        <v>0</v>
      </c>
      <c r="AP42" s="184">
        <v>0</v>
      </c>
      <c r="AQ42" s="184">
        <v>0</v>
      </c>
      <c r="AR42" s="79">
        <v>0</v>
      </c>
      <c r="AS42" s="79">
        <v>0</v>
      </c>
      <c r="AT42" s="79">
        <v>0</v>
      </c>
      <c r="AU42" s="79">
        <v>0</v>
      </c>
      <c r="AV42" s="79">
        <v>0</v>
      </c>
      <c r="AW42" s="79">
        <v>0</v>
      </c>
      <c r="AX42" s="79">
        <v>0</v>
      </c>
      <c r="AY42" s="79">
        <v>0</v>
      </c>
      <c r="AZ42" s="79">
        <v>0</v>
      </c>
      <c r="BA42" s="79">
        <v>0</v>
      </c>
      <c r="BB42" s="79">
        <v>0</v>
      </c>
      <c r="BC42" s="203">
        <v>0</v>
      </c>
      <c r="BD42" s="203">
        <v>0</v>
      </c>
      <c r="BE42" s="203">
        <v>0</v>
      </c>
      <c r="BF42" s="203">
        <v>0</v>
      </c>
      <c r="BG42" s="203">
        <v>0</v>
      </c>
      <c r="BH42" s="203">
        <v>0</v>
      </c>
      <c r="BI42" s="203">
        <v>0</v>
      </c>
      <c r="BJ42" s="203">
        <v>0</v>
      </c>
      <c r="BK42" s="203">
        <v>0</v>
      </c>
      <c r="BL42" s="203">
        <v>0</v>
      </c>
      <c r="BM42" s="203">
        <v>0</v>
      </c>
      <c r="BN42" s="203">
        <v>0</v>
      </c>
      <c r="BO42" s="203">
        <v>0</v>
      </c>
      <c r="BP42" s="203">
        <v>0</v>
      </c>
      <c r="BQ42" s="107">
        <v>0</v>
      </c>
      <c r="BR42" s="107">
        <v>0</v>
      </c>
      <c r="BS42" s="107">
        <v>0</v>
      </c>
      <c r="BT42" s="107">
        <v>0</v>
      </c>
      <c r="BU42" s="107">
        <v>0</v>
      </c>
      <c r="BV42" s="107">
        <v>0</v>
      </c>
      <c r="BW42" s="107">
        <v>0</v>
      </c>
      <c r="BX42" s="107">
        <v>0</v>
      </c>
      <c r="BY42" s="86">
        <v>0</v>
      </c>
      <c r="BZ42" s="86">
        <v>0</v>
      </c>
      <c r="CA42" s="86">
        <v>0</v>
      </c>
      <c r="CB42" s="86">
        <v>0</v>
      </c>
      <c r="CC42" s="236">
        <v>0</v>
      </c>
      <c r="CD42" s="236">
        <v>0</v>
      </c>
      <c r="CE42" s="236">
        <v>0</v>
      </c>
      <c r="CF42" s="236">
        <v>0</v>
      </c>
      <c r="CG42" s="236">
        <v>0</v>
      </c>
      <c r="CH42" s="236">
        <v>0</v>
      </c>
      <c r="CI42" s="236">
        <v>0</v>
      </c>
      <c r="CJ42" s="236">
        <v>0</v>
      </c>
      <c r="CK42" s="236">
        <v>0</v>
      </c>
    </row>
    <row r="43" spans="1:89">
      <c r="A43" s="45" t="s">
        <v>191</v>
      </c>
      <c r="B43" s="162" t="s">
        <v>187</v>
      </c>
      <c r="C43" s="45" t="s">
        <v>201</v>
      </c>
      <c r="D43" s="86">
        <v>0</v>
      </c>
      <c r="E43" s="86">
        <v>0</v>
      </c>
      <c r="F43" s="86">
        <v>0</v>
      </c>
      <c r="G43" s="86">
        <v>0</v>
      </c>
      <c r="H43" s="86">
        <v>0</v>
      </c>
      <c r="I43" s="86">
        <v>0</v>
      </c>
      <c r="J43" s="86">
        <v>0</v>
      </c>
      <c r="K43" s="86">
        <v>0</v>
      </c>
      <c r="L43" s="84">
        <v>0</v>
      </c>
      <c r="M43" s="108">
        <v>0</v>
      </c>
      <c r="N43" s="108">
        <v>0</v>
      </c>
      <c r="O43" s="108">
        <v>0</v>
      </c>
      <c r="P43" s="79">
        <v>0</v>
      </c>
      <c r="Q43" s="79">
        <v>0</v>
      </c>
      <c r="R43" s="86">
        <v>0</v>
      </c>
      <c r="S43" s="86">
        <v>0</v>
      </c>
      <c r="T43" s="86">
        <v>0</v>
      </c>
      <c r="U43" s="86">
        <v>0</v>
      </c>
      <c r="V43" s="86">
        <v>0</v>
      </c>
      <c r="W43" s="86">
        <v>0</v>
      </c>
      <c r="X43" s="86">
        <v>0</v>
      </c>
      <c r="Y43" s="86">
        <v>0</v>
      </c>
      <c r="Z43" s="86">
        <v>0</v>
      </c>
      <c r="AA43" s="86">
        <v>0</v>
      </c>
      <c r="AB43" s="86">
        <v>0</v>
      </c>
      <c r="AC43" s="86">
        <v>0</v>
      </c>
      <c r="AD43" s="86">
        <v>0</v>
      </c>
      <c r="AE43" s="86">
        <v>0</v>
      </c>
      <c r="AF43" s="86">
        <v>0</v>
      </c>
      <c r="AG43" s="86">
        <v>0</v>
      </c>
      <c r="AH43" s="215">
        <v>0</v>
      </c>
      <c r="AI43" s="214">
        <v>0</v>
      </c>
      <c r="AJ43" s="214">
        <v>0</v>
      </c>
      <c r="AK43" s="214">
        <v>0</v>
      </c>
      <c r="AL43" s="173">
        <v>0</v>
      </c>
      <c r="AM43" s="173">
        <v>0</v>
      </c>
      <c r="AN43" s="173">
        <v>0</v>
      </c>
      <c r="AO43" s="173">
        <v>0</v>
      </c>
      <c r="AP43" s="184">
        <v>0</v>
      </c>
      <c r="AQ43" s="184">
        <v>0</v>
      </c>
      <c r="AR43" s="79">
        <v>0</v>
      </c>
      <c r="AS43" s="79">
        <v>0</v>
      </c>
      <c r="AT43" s="79">
        <v>0</v>
      </c>
      <c r="AU43" s="79">
        <v>0</v>
      </c>
      <c r="AV43" s="79">
        <v>0</v>
      </c>
      <c r="AW43" s="79">
        <v>0</v>
      </c>
      <c r="AX43" s="79">
        <v>0</v>
      </c>
      <c r="AY43" s="79">
        <v>0</v>
      </c>
      <c r="AZ43" s="79">
        <v>0</v>
      </c>
      <c r="BA43" s="79">
        <v>0</v>
      </c>
      <c r="BB43" s="79">
        <v>0</v>
      </c>
      <c r="BC43" s="203">
        <v>0</v>
      </c>
      <c r="BD43" s="203">
        <v>0</v>
      </c>
      <c r="BE43" s="203">
        <v>0</v>
      </c>
      <c r="BF43" s="203">
        <v>0</v>
      </c>
      <c r="BG43" s="203">
        <v>0</v>
      </c>
      <c r="BH43" s="203">
        <v>0</v>
      </c>
      <c r="BI43" s="203">
        <v>0</v>
      </c>
      <c r="BJ43" s="203">
        <v>0</v>
      </c>
      <c r="BK43" s="203">
        <v>0</v>
      </c>
      <c r="BL43" s="203">
        <v>0</v>
      </c>
      <c r="BM43" s="203">
        <v>0</v>
      </c>
      <c r="BN43" s="203">
        <v>0</v>
      </c>
      <c r="BO43" s="203">
        <v>0</v>
      </c>
      <c r="BP43" s="203">
        <v>0</v>
      </c>
      <c r="BQ43" s="107">
        <v>0</v>
      </c>
      <c r="BR43" s="107">
        <v>0</v>
      </c>
      <c r="BS43" s="107">
        <v>0</v>
      </c>
      <c r="BT43" s="107">
        <v>0</v>
      </c>
      <c r="BU43" s="107">
        <v>0</v>
      </c>
      <c r="BV43" s="107">
        <v>0</v>
      </c>
      <c r="BW43" s="107">
        <v>0</v>
      </c>
      <c r="BX43" s="107">
        <v>0</v>
      </c>
      <c r="BY43" s="107">
        <v>0</v>
      </c>
      <c r="BZ43" s="86">
        <v>0</v>
      </c>
      <c r="CA43" s="86">
        <v>0</v>
      </c>
      <c r="CB43" s="86">
        <v>0</v>
      </c>
      <c r="CC43" s="236">
        <v>0</v>
      </c>
      <c r="CD43" s="236">
        <v>0</v>
      </c>
      <c r="CE43" s="236">
        <v>0</v>
      </c>
      <c r="CF43" s="236">
        <v>0</v>
      </c>
      <c r="CG43" s="236">
        <v>0</v>
      </c>
      <c r="CH43" s="236">
        <v>0</v>
      </c>
      <c r="CI43" s="236">
        <v>0</v>
      </c>
      <c r="CJ43" s="236">
        <v>0</v>
      </c>
      <c r="CK43" s="236">
        <v>0</v>
      </c>
    </row>
    <row r="44" spans="1:89">
      <c r="A44" s="1" t="s">
        <v>161</v>
      </c>
      <c r="B44" s="162" t="s">
        <v>188</v>
      </c>
      <c r="C44" s="45" t="s">
        <v>120</v>
      </c>
      <c r="D44" s="86">
        <v>12.3</v>
      </c>
      <c r="E44" s="86">
        <v>11.5</v>
      </c>
      <c r="F44" s="86">
        <v>11.6</v>
      </c>
      <c r="G44" s="86">
        <v>11.5</v>
      </c>
      <c r="H44" s="86">
        <v>11.6</v>
      </c>
      <c r="I44" s="86">
        <v>11.6</v>
      </c>
      <c r="J44" s="86">
        <v>11.5</v>
      </c>
      <c r="K44" s="86">
        <v>10.5</v>
      </c>
      <c r="L44" s="84">
        <v>10.289903936711244</v>
      </c>
      <c r="M44" s="86">
        <v>10.4</v>
      </c>
      <c r="N44" s="86">
        <v>10.17</v>
      </c>
      <c r="O44" s="108">
        <v>10.6</v>
      </c>
      <c r="P44" s="84">
        <v>10.58</v>
      </c>
      <c r="Q44" s="79">
        <v>9.3000000000000007</v>
      </c>
      <c r="R44" s="86">
        <v>9.3819999999999997</v>
      </c>
      <c r="S44" s="86">
        <v>9.3420000000000005</v>
      </c>
      <c r="T44" s="86">
        <v>9.6180000000000003</v>
      </c>
      <c r="U44" s="86">
        <v>9.6579999999999995</v>
      </c>
      <c r="V44" s="86">
        <v>9.6769999999999996</v>
      </c>
      <c r="W44" s="86">
        <v>8.7769999999999992</v>
      </c>
      <c r="X44" s="86">
        <v>8.66</v>
      </c>
      <c r="Y44" s="86">
        <v>8.51</v>
      </c>
      <c r="Z44" s="86">
        <v>8.4979999999999993</v>
      </c>
      <c r="AA44" s="86">
        <v>8.3706299999999985</v>
      </c>
      <c r="AB44" s="86">
        <v>8.5491499999999991</v>
      </c>
      <c r="AC44" s="86">
        <v>7.34558</v>
      </c>
      <c r="AD44" s="86">
        <v>7.6964100000000002</v>
      </c>
      <c r="AE44" s="86">
        <f>-'[2]APR Reval.'!$G$28/1000000</f>
        <v>7.6287000000000003</v>
      </c>
      <c r="AF44" s="107">
        <v>51.7963363</v>
      </c>
      <c r="AG44" s="107">
        <v>50.925539999999998</v>
      </c>
      <c r="AH44" s="215">
        <v>50.925539999999998</v>
      </c>
      <c r="AI44" s="214">
        <v>48.94265</v>
      </c>
      <c r="AJ44" s="214">
        <v>49.575569999999999</v>
      </c>
      <c r="AK44" s="214">
        <v>50.225070000000002</v>
      </c>
      <c r="AL44" s="173">
        <v>49.01108</v>
      </c>
      <c r="AM44" s="173">
        <v>48.440170000000002</v>
      </c>
      <c r="AN44" s="173">
        <v>48.041809999999998</v>
      </c>
      <c r="AO44" s="173">
        <v>99.464920000000006</v>
      </c>
      <c r="AP44" s="184">
        <v>286.08850999999999</v>
      </c>
      <c r="AQ44" s="184">
        <v>284.85883000000001</v>
      </c>
      <c r="AR44" s="79">
        <v>283.11284999999998</v>
      </c>
      <c r="AS44" s="79">
        <v>286.24968999999999</v>
      </c>
      <c r="AT44" s="79">
        <v>290.28368</v>
      </c>
      <c r="AU44" s="79">
        <v>290.61574000000002</v>
      </c>
      <c r="AV44" s="79">
        <v>288.4162</v>
      </c>
      <c r="AW44" s="184">
        <v>276.94033000000002</v>
      </c>
      <c r="AX44" s="184">
        <v>285.65960000000001</v>
      </c>
      <c r="AY44" s="184">
        <v>280.50783999999999</v>
      </c>
      <c r="AZ44" s="184">
        <v>286.24968999999999</v>
      </c>
      <c r="BA44" s="184">
        <v>282.03784999999999</v>
      </c>
      <c r="BB44" s="184">
        <v>432.31067999999999</v>
      </c>
      <c r="BC44" s="203">
        <v>418.79424</v>
      </c>
      <c r="BD44" s="203">
        <v>425.80480999999997</v>
      </c>
      <c r="BE44" s="203">
        <v>409.33186000000001</v>
      </c>
      <c r="BF44" s="203">
        <v>413.70292000000001</v>
      </c>
      <c r="BG44" s="203">
        <v>404.59652</v>
      </c>
      <c r="BH44" s="203">
        <v>402.05378000000002</v>
      </c>
      <c r="BI44" s="203">
        <v>393.73674</v>
      </c>
      <c r="BJ44" s="203">
        <v>406.41122000000001</v>
      </c>
      <c r="BK44" s="203">
        <v>418.87864999999999</v>
      </c>
      <c r="BL44" s="203">
        <v>419.43808000000001</v>
      </c>
      <c r="BM44" s="203">
        <v>411.82454000000001</v>
      </c>
      <c r="BN44" s="203">
        <v>421.09613999999999</v>
      </c>
      <c r="BO44" s="203">
        <v>420.24885999999998</v>
      </c>
      <c r="BP44" s="203">
        <v>407.27400999999998</v>
      </c>
      <c r="BQ44" s="107">
        <v>391.09181000000001</v>
      </c>
      <c r="BR44" s="107">
        <v>398.49572000000001</v>
      </c>
      <c r="BS44" s="107">
        <v>391.39675982</v>
      </c>
      <c r="BT44" s="107">
        <v>385.13240707</v>
      </c>
      <c r="BU44" s="107">
        <v>388.13929638999997</v>
      </c>
      <c r="BV44" s="107">
        <v>383.37838830000004</v>
      </c>
      <c r="BW44" s="107">
        <v>392.29916112000001</v>
      </c>
      <c r="BX44" s="107">
        <v>383.28078960000005</v>
      </c>
      <c r="BY44" s="107">
        <v>378.12027701</v>
      </c>
      <c r="BZ44" s="236">
        <v>377.26854192000002</v>
      </c>
      <c r="CA44" s="236">
        <v>365.99557751999998</v>
      </c>
      <c r="CB44" s="236">
        <v>359.98332984000001</v>
      </c>
      <c r="CC44" s="236">
        <v>353.12960730000003</v>
      </c>
      <c r="CD44" s="236">
        <v>374.66800888</v>
      </c>
      <c r="CE44" s="236">
        <v>384.68587007999997</v>
      </c>
      <c r="CF44" s="236">
        <v>388.94346108999997</v>
      </c>
      <c r="CG44" s="236">
        <v>371.91309705000003</v>
      </c>
      <c r="CH44" s="236">
        <v>379.17604642000003</v>
      </c>
      <c r="CI44" s="236">
        <v>374.57257903999999</v>
      </c>
      <c r="CJ44" s="236">
        <v>380.83214753999999</v>
      </c>
      <c r="CK44" s="236">
        <v>391.84898810000004</v>
      </c>
    </row>
    <row r="45" spans="1:89">
      <c r="A45" s="1" t="s">
        <v>162</v>
      </c>
      <c r="B45" s="166" t="s">
        <v>189</v>
      </c>
      <c r="C45" s="45" t="s">
        <v>121</v>
      </c>
      <c r="D45" s="86">
        <v>107.5</v>
      </c>
      <c r="E45" s="86">
        <v>110.8</v>
      </c>
      <c r="F45" s="86">
        <v>115.3</v>
      </c>
      <c r="G45" s="86">
        <v>116.3</v>
      </c>
      <c r="H45" s="86">
        <v>148.1</v>
      </c>
      <c r="I45" s="86">
        <v>151.19999999999999</v>
      </c>
      <c r="J45" s="86">
        <v>150.6</v>
      </c>
      <c r="K45" s="86">
        <v>154.69999999999999</v>
      </c>
      <c r="L45" s="84">
        <v>155.87299183432506</v>
      </c>
      <c r="M45" s="86">
        <v>157.01</v>
      </c>
      <c r="N45" s="86">
        <v>154.53</v>
      </c>
      <c r="O45" s="108">
        <v>156.56399999999999</v>
      </c>
      <c r="P45" s="84">
        <v>154.22</v>
      </c>
      <c r="Q45" s="79">
        <v>155.53</v>
      </c>
      <c r="R45" s="86">
        <v>157.08500000000001</v>
      </c>
      <c r="S45" s="86">
        <v>157.89500000000001</v>
      </c>
      <c r="T45" s="86">
        <v>160.36000000000001</v>
      </c>
      <c r="U45" s="86">
        <v>158.36600000000001</v>
      </c>
      <c r="V45" s="86">
        <v>160.28</v>
      </c>
      <c r="W45" s="86">
        <v>167.327</v>
      </c>
      <c r="X45" s="86">
        <v>167.44</v>
      </c>
      <c r="Y45" s="86">
        <v>165.83</v>
      </c>
      <c r="Z45" s="86">
        <v>166.971</v>
      </c>
      <c r="AA45" s="86">
        <v>163.42626935999999</v>
      </c>
      <c r="AB45" s="86">
        <v>166.89809331000001</v>
      </c>
      <c r="AC45" s="86">
        <v>169.00791619</v>
      </c>
      <c r="AD45" s="86">
        <v>174.29015339999998</v>
      </c>
      <c r="AE45" s="86">
        <v>184.06929940000001</v>
      </c>
      <c r="AF45" s="107">
        <v>183.09295533</v>
      </c>
      <c r="AG45" s="107">
        <v>179.90179269999999</v>
      </c>
      <c r="AH45" s="215">
        <v>175.16954360999998</v>
      </c>
      <c r="AI45" s="214">
        <v>173.69567282</v>
      </c>
      <c r="AJ45" s="214">
        <v>176.32911139000001</v>
      </c>
      <c r="AK45" s="214">
        <v>176.85783436</v>
      </c>
      <c r="AL45" s="173">
        <v>171.63775276999999</v>
      </c>
      <c r="AM45" s="173">
        <v>168.58284283</v>
      </c>
      <c r="AN45" s="173">
        <v>169.02413116</v>
      </c>
      <c r="AO45" s="173">
        <v>167.20986028000002</v>
      </c>
      <c r="AP45" s="184">
        <v>172.06515440000001</v>
      </c>
      <c r="AQ45" s="184">
        <v>169.08824861999997</v>
      </c>
      <c r="AR45" s="79">
        <v>221.46065641999996</v>
      </c>
      <c r="AS45" s="79">
        <v>226.18864205</v>
      </c>
      <c r="AT45" s="79">
        <v>227.60691279000002</v>
      </c>
      <c r="AU45" s="79">
        <v>229.81913306000001</v>
      </c>
      <c r="AV45" s="79">
        <v>233.50676713999999</v>
      </c>
      <c r="AW45" s="184">
        <v>227.79016674000002</v>
      </c>
      <c r="AX45" s="184">
        <v>240.88598416000002</v>
      </c>
      <c r="AY45" s="184">
        <v>244.35574581</v>
      </c>
      <c r="AZ45" s="184">
        <v>250.51306993</v>
      </c>
      <c r="BA45" s="184">
        <v>252.5272841</v>
      </c>
      <c r="BB45" s="184">
        <v>248.35292457</v>
      </c>
      <c r="BC45" s="203">
        <v>260.90789288000002</v>
      </c>
      <c r="BD45" s="203">
        <v>258.36400950000001</v>
      </c>
      <c r="BE45" s="203">
        <v>268.30042037999999</v>
      </c>
      <c r="BF45" s="203">
        <v>378.24835608000006</v>
      </c>
      <c r="BG45" s="203">
        <v>388.79845789000001</v>
      </c>
      <c r="BH45" s="203">
        <v>405.60184555999996</v>
      </c>
      <c r="BI45" s="203">
        <v>406.55109299000003</v>
      </c>
      <c r="BJ45" s="203">
        <v>393.15259009999994</v>
      </c>
      <c r="BK45" s="203">
        <v>394.61232323000002</v>
      </c>
      <c r="BL45" s="203">
        <v>388.84740398000002</v>
      </c>
      <c r="BM45" s="203">
        <v>402.25585497999998</v>
      </c>
      <c r="BN45" s="203">
        <v>403.03526519999997</v>
      </c>
      <c r="BO45" s="203">
        <v>407.62089566999998</v>
      </c>
      <c r="BP45" s="203">
        <v>409.40024940999996</v>
      </c>
      <c r="BQ45" s="107">
        <v>410.90332787</v>
      </c>
      <c r="BR45" s="107">
        <v>408.05507463000004</v>
      </c>
      <c r="BS45" s="107">
        <v>417.96197231000002</v>
      </c>
      <c r="BT45" s="107">
        <v>422.63894951999998</v>
      </c>
      <c r="BU45" s="107">
        <v>426.45581284000002</v>
      </c>
      <c r="BV45" s="107">
        <v>409.55772487999991</v>
      </c>
      <c r="BW45" s="107">
        <v>403.57305945000007</v>
      </c>
      <c r="BX45" s="107">
        <v>411.64679315000001</v>
      </c>
      <c r="BY45" s="107">
        <v>414.86642133000004</v>
      </c>
      <c r="BZ45" s="236">
        <v>417.23249904999994</v>
      </c>
      <c r="CA45" s="236">
        <v>418.07906915999996</v>
      </c>
      <c r="CB45" s="236">
        <v>408.07984362000002</v>
      </c>
      <c r="CC45" s="236">
        <v>408.70504235999994</v>
      </c>
      <c r="CD45" s="236">
        <v>413.46663291999994</v>
      </c>
      <c r="CE45" s="236">
        <v>402.32917466999993</v>
      </c>
      <c r="CF45" s="236">
        <v>399.04231676000001</v>
      </c>
      <c r="CG45" s="236">
        <v>415.31395114999998</v>
      </c>
      <c r="CH45" s="236">
        <v>409.71046143000001</v>
      </c>
      <c r="CI45" s="236">
        <v>429.70491403999995</v>
      </c>
      <c r="CJ45" s="236">
        <v>428.38837346999998</v>
      </c>
      <c r="CK45" s="236">
        <v>428.38822295999995</v>
      </c>
    </row>
    <row r="46" spans="1:89" s="46" customFormat="1">
      <c r="A46" s="126" t="s">
        <v>242</v>
      </c>
      <c r="B46" s="165" t="s">
        <v>238</v>
      </c>
      <c r="C46" s="126" t="s">
        <v>242</v>
      </c>
      <c r="D46" s="86">
        <v>0</v>
      </c>
      <c r="E46" s="86"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  <c r="M46" s="86">
        <v>0</v>
      </c>
      <c r="N46" s="86">
        <v>0</v>
      </c>
      <c r="O46" s="86">
        <v>0</v>
      </c>
      <c r="P46" s="86">
        <v>0</v>
      </c>
      <c r="Q46" s="86">
        <v>0</v>
      </c>
      <c r="R46" s="86">
        <v>0</v>
      </c>
      <c r="S46" s="86">
        <v>0</v>
      </c>
      <c r="T46" s="86">
        <v>0</v>
      </c>
      <c r="U46" s="86">
        <v>0</v>
      </c>
      <c r="V46" s="86">
        <v>0</v>
      </c>
      <c r="W46" s="86">
        <v>0</v>
      </c>
      <c r="X46" s="86">
        <v>0</v>
      </c>
      <c r="Y46" s="86">
        <v>0</v>
      </c>
      <c r="Z46" s="86">
        <v>0</v>
      </c>
      <c r="AA46" s="86">
        <v>0</v>
      </c>
      <c r="AB46" s="86">
        <v>0</v>
      </c>
      <c r="AC46" s="86">
        <v>0</v>
      </c>
      <c r="AD46" s="86">
        <v>0</v>
      </c>
      <c r="AE46" s="86">
        <v>128.91936662999998</v>
      </c>
      <c r="AF46" s="86">
        <v>128.00463943</v>
      </c>
      <c r="AG46" s="86">
        <v>125.77362175</v>
      </c>
      <c r="AH46" s="216">
        <v>122.46519384999999</v>
      </c>
      <c r="AI46" s="79">
        <v>121.43477573</v>
      </c>
      <c r="AJ46" s="79">
        <v>123.27587525</v>
      </c>
      <c r="AK46" s="79">
        <v>123.64551805000001</v>
      </c>
      <c r="AL46" s="184">
        <v>120.19470459999999</v>
      </c>
      <c r="AM46" s="184">
        <v>117.91531888000002</v>
      </c>
      <c r="AN46" s="184">
        <v>118.0356652</v>
      </c>
      <c r="AO46" s="184">
        <v>116.56051679000001</v>
      </c>
      <c r="AP46" s="184">
        <v>119.7714838</v>
      </c>
      <c r="AQ46" s="184">
        <v>117.6993128</v>
      </c>
      <c r="AR46" s="79">
        <v>341.81452472000001</v>
      </c>
      <c r="AS46" s="79">
        <v>372.88986421999999</v>
      </c>
      <c r="AT46" s="79">
        <v>422.47006014999999</v>
      </c>
      <c r="AU46" s="79">
        <v>445.49144260000003</v>
      </c>
      <c r="AV46" s="79">
        <v>451.06310991000004</v>
      </c>
      <c r="AW46" s="184">
        <v>440.83059895999997</v>
      </c>
      <c r="AX46" s="184">
        <v>455.08084454999999</v>
      </c>
      <c r="AY46" s="184">
        <v>452.39767296000002</v>
      </c>
      <c r="AZ46" s="184">
        <v>463.28894529999997</v>
      </c>
      <c r="BA46" s="184">
        <v>458.25373801000001</v>
      </c>
      <c r="BB46" s="184">
        <v>447.82637775000001</v>
      </c>
      <c r="BC46" s="202">
        <v>465.75112289999998</v>
      </c>
      <c r="BD46" s="202">
        <v>462.07869644000004</v>
      </c>
      <c r="BE46" s="202">
        <v>559.22205704999999</v>
      </c>
      <c r="BF46" s="202">
        <v>663.00390811</v>
      </c>
      <c r="BG46" s="202">
        <v>672.29150025000001</v>
      </c>
      <c r="BH46" s="202">
        <v>695.61399620999998</v>
      </c>
      <c r="BI46" s="202">
        <v>697.04768582999998</v>
      </c>
      <c r="BJ46" s="202">
        <v>676.05436843000007</v>
      </c>
      <c r="BK46" s="202">
        <v>668.20328336</v>
      </c>
      <c r="BL46" s="202">
        <v>656.87509722000004</v>
      </c>
      <c r="BM46" s="202">
        <v>675.29650519000006</v>
      </c>
      <c r="BN46" s="202">
        <v>673.29122227999994</v>
      </c>
      <c r="BO46" s="202">
        <v>678.78463603</v>
      </c>
      <c r="BP46" s="202">
        <v>687.15179565000005</v>
      </c>
      <c r="BQ46" s="86">
        <v>683.99398923000001</v>
      </c>
      <c r="BR46" s="86">
        <v>680.6043333099999</v>
      </c>
      <c r="BS46" s="86">
        <v>694.05801000999998</v>
      </c>
      <c r="BT46" s="86">
        <v>697.9618485200001</v>
      </c>
      <c r="BU46" s="86">
        <v>703.89550685000006</v>
      </c>
      <c r="BV46" s="86">
        <v>687.86811842999998</v>
      </c>
      <c r="BW46" s="86">
        <v>675.74143684000001</v>
      </c>
      <c r="BX46" s="86">
        <v>690.02379171000007</v>
      </c>
      <c r="BY46" s="86">
        <v>696.13226969000004</v>
      </c>
      <c r="BZ46" s="236">
        <v>699.04729445999988</v>
      </c>
      <c r="CA46" s="236">
        <v>700.82085927000003</v>
      </c>
      <c r="CB46" s="236">
        <v>668.30985539999995</v>
      </c>
      <c r="CC46" s="236">
        <v>670.17003283000008</v>
      </c>
      <c r="CD46" s="236">
        <v>900.78165163999995</v>
      </c>
      <c r="CE46" s="236">
        <v>890.47565280000003</v>
      </c>
      <c r="CF46" s="236">
        <v>876.70241311999996</v>
      </c>
      <c r="CG46" s="236">
        <v>900.76476192999985</v>
      </c>
      <c r="CH46" s="236">
        <v>897.90869138999994</v>
      </c>
      <c r="CI46" s="236">
        <v>913.57011742999998</v>
      </c>
      <c r="CJ46" s="236">
        <v>919.51129634000006</v>
      </c>
      <c r="CK46" s="236">
        <v>925.17680527999994</v>
      </c>
    </row>
    <row r="47" spans="1:89">
      <c r="A47" s="1" t="s">
        <v>163</v>
      </c>
      <c r="B47" s="167" t="s">
        <v>190</v>
      </c>
      <c r="C47" s="45" t="s">
        <v>163</v>
      </c>
      <c r="D47" s="86">
        <v>2.2000000000000002</v>
      </c>
      <c r="E47" s="86">
        <v>2.2000000000000002</v>
      </c>
      <c r="F47" s="86">
        <v>2.2999999999999998</v>
      </c>
      <c r="G47" s="86">
        <v>2.2999999999999998</v>
      </c>
      <c r="H47" s="86">
        <v>2.2000000000000002</v>
      </c>
      <c r="I47" s="86">
        <v>2.2000000000000002</v>
      </c>
      <c r="J47" s="86">
        <v>2.2000000000000002</v>
      </c>
      <c r="K47" s="86">
        <v>2.2000000000000002</v>
      </c>
      <c r="L47" s="84">
        <v>2.2382491917433471</v>
      </c>
      <c r="M47" s="86">
        <v>2.2000000000000002</v>
      </c>
      <c r="N47" s="86">
        <v>2.2599999999999998</v>
      </c>
      <c r="O47" s="108">
        <v>2.2999999999999998</v>
      </c>
      <c r="P47" s="84">
        <v>2.2799999999999998</v>
      </c>
      <c r="Q47" s="79">
        <v>2.27</v>
      </c>
      <c r="R47" s="86">
        <v>2.2559999999999998</v>
      </c>
      <c r="S47" s="86">
        <v>2.2589999999999999</v>
      </c>
      <c r="T47" s="86">
        <v>2.2719999999999998</v>
      </c>
      <c r="U47" s="86">
        <v>2.56</v>
      </c>
      <c r="V47" s="86">
        <v>2.54</v>
      </c>
      <c r="W47" s="86">
        <v>2.5499999999999998</v>
      </c>
      <c r="X47" s="86">
        <v>2.5299999999999998</v>
      </c>
      <c r="Y47" s="86">
        <v>2.5499999999999998</v>
      </c>
      <c r="Z47" s="86">
        <v>2.5310000000000001</v>
      </c>
      <c r="AA47" s="86">
        <v>2.5229008199999998</v>
      </c>
      <c r="AB47" s="86">
        <v>2.5381430899999997</v>
      </c>
      <c r="AC47" s="86">
        <v>2.5591705899999999</v>
      </c>
      <c r="AD47" s="86">
        <v>2.6448844399999998</v>
      </c>
      <c r="AE47" s="86">
        <v>2.5510896499999998</v>
      </c>
      <c r="AF47" s="107">
        <f>'[3]2020'!$F$19</f>
        <v>128.00463943</v>
      </c>
      <c r="AG47" s="107">
        <v>2.2554275499999998</v>
      </c>
      <c r="AH47" s="215">
        <v>2.3143633399999999</v>
      </c>
      <c r="AI47" s="214">
        <v>2.3056736200000003</v>
      </c>
      <c r="AJ47" s="214">
        <v>2.3091416600000003</v>
      </c>
      <c r="AK47" s="214">
        <v>2.3027915299999999</v>
      </c>
      <c r="AL47" s="173">
        <v>2.2901954500000001</v>
      </c>
      <c r="AM47" s="173">
        <v>2.30740634</v>
      </c>
      <c r="AN47" s="173">
        <v>1.96075665</v>
      </c>
      <c r="AO47" s="173">
        <v>1.9424812600000001</v>
      </c>
      <c r="AP47" s="184">
        <v>1.9222077900000001</v>
      </c>
      <c r="AQ47" s="184">
        <v>0.70114416000000002</v>
      </c>
      <c r="AR47" s="79">
        <v>0.70689983000000001</v>
      </c>
      <c r="AS47" s="79">
        <v>0.70235722</v>
      </c>
      <c r="AT47" s="79">
        <v>0.67225955000000004</v>
      </c>
      <c r="AU47" s="79">
        <v>0</v>
      </c>
      <c r="AV47" s="79">
        <v>0</v>
      </c>
      <c r="AW47" s="79">
        <v>0</v>
      </c>
      <c r="AX47" s="79">
        <v>0</v>
      </c>
      <c r="AY47" s="79">
        <v>0</v>
      </c>
      <c r="AZ47" s="79">
        <v>0</v>
      </c>
      <c r="BA47" s="79">
        <v>0</v>
      </c>
      <c r="BB47" s="79">
        <v>0</v>
      </c>
      <c r="BC47" s="107">
        <v>0</v>
      </c>
      <c r="BD47" s="107">
        <v>0</v>
      </c>
      <c r="BE47" s="107">
        <v>0</v>
      </c>
      <c r="BF47" s="107">
        <v>0</v>
      </c>
      <c r="BG47" s="107">
        <v>0</v>
      </c>
      <c r="BH47" s="107">
        <v>0</v>
      </c>
      <c r="BI47" s="107">
        <v>0</v>
      </c>
      <c r="BJ47" s="107">
        <v>0</v>
      </c>
      <c r="BK47" s="107">
        <v>0</v>
      </c>
      <c r="BL47" s="107">
        <v>0</v>
      </c>
      <c r="BM47" s="107">
        <v>0</v>
      </c>
      <c r="BN47" s="107">
        <v>0</v>
      </c>
      <c r="BO47" s="107">
        <v>0</v>
      </c>
      <c r="BP47" s="107">
        <v>0</v>
      </c>
      <c r="BQ47" s="107">
        <v>0</v>
      </c>
      <c r="BR47" s="107">
        <v>0</v>
      </c>
      <c r="BS47" s="107">
        <v>0</v>
      </c>
      <c r="BT47" s="107">
        <v>0</v>
      </c>
      <c r="BU47" s="107">
        <v>0</v>
      </c>
      <c r="BV47" s="107">
        <v>0</v>
      </c>
      <c r="BW47" s="107">
        <v>0</v>
      </c>
      <c r="BX47" s="107">
        <v>0</v>
      </c>
      <c r="BY47" s="107">
        <v>0</v>
      </c>
      <c r="BZ47" s="86">
        <v>0</v>
      </c>
      <c r="CA47" s="236">
        <v>0</v>
      </c>
      <c r="CB47" s="236">
        <v>0</v>
      </c>
      <c r="CC47" s="236">
        <v>0</v>
      </c>
      <c r="CD47" s="236">
        <v>0</v>
      </c>
      <c r="CE47" s="236">
        <v>0</v>
      </c>
      <c r="CF47" s="236">
        <v>0</v>
      </c>
      <c r="CG47" s="236">
        <v>0</v>
      </c>
      <c r="CH47" s="236">
        <v>0</v>
      </c>
      <c r="CI47" s="236">
        <v>0</v>
      </c>
      <c r="CJ47" s="236">
        <v>0</v>
      </c>
      <c r="CK47" s="236">
        <v>0</v>
      </c>
    </row>
    <row r="48" spans="1:89" s="46" customFormat="1">
      <c r="A48" s="126" t="s">
        <v>282</v>
      </c>
      <c r="B48" s="231" t="s">
        <v>276</v>
      </c>
      <c r="C48" s="45" t="s">
        <v>275</v>
      </c>
      <c r="D48" s="86">
        <v>0</v>
      </c>
      <c r="E48" s="86"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  <c r="M48" s="86">
        <v>0</v>
      </c>
      <c r="N48" s="86">
        <v>0</v>
      </c>
      <c r="O48" s="86">
        <v>0</v>
      </c>
      <c r="P48" s="86">
        <v>0</v>
      </c>
      <c r="Q48" s="86">
        <v>0</v>
      </c>
      <c r="R48" s="86">
        <v>0</v>
      </c>
      <c r="S48" s="86">
        <v>0</v>
      </c>
      <c r="T48" s="86">
        <v>0</v>
      </c>
      <c r="U48" s="86">
        <v>0</v>
      </c>
      <c r="V48" s="86">
        <v>0</v>
      </c>
      <c r="W48" s="86">
        <v>0</v>
      </c>
      <c r="X48" s="86">
        <v>0</v>
      </c>
      <c r="Y48" s="86">
        <v>0</v>
      </c>
      <c r="Z48" s="86">
        <v>0</v>
      </c>
      <c r="AA48" s="86">
        <v>0</v>
      </c>
      <c r="AB48" s="86">
        <v>0</v>
      </c>
      <c r="AC48" s="86">
        <v>0</v>
      </c>
      <c r="AD48" s="86">
        <v>0</v>
      </c>
      <c r="AE48" s="86">
        <v>0</v>
      </c>
      <c r="AF48" s="86">
        <v>0</v>
      </c>
      <c r="AG48" s="86">
        <v>0</v>
      </c>
      <c r="AH48" s="86">
        <v>0</v>
      </c>
      <c r="AI48" s="86">
        <v>0</v>
      </c>
      <c r="AJ48" s="86">
        <v>0</v>
      </c>
      <c r="AK48" s="86">
        <v>0</v>
      </c>
      <c r="AL48" s="86">
        <v>0</v>
      </c>
      <c r="AM48" s="86">
        <v>0</v>
      </c>
      <c r="AN48" s="86">
        <v>0</v>
      </c>
      <c r="AO48" s="86">
        <v>0</v>
      </c>
      <c r="AP48" s="86">
        <v>0</v>
      </c>
      <c r="AQ48" s="86">
        <v>0</v>
      </c>
      <c r="AR48" s="86">
        <v>0</v>
      </c>
      <c r="AS48" s="86">
        <v>0</v>
      </c>
      <c r="AT48" s="86">
        <v>0</v>
      </c>
      <c r="AU48" s="86">
        <v>0</v>
      </c>
      <c r="AV48" s="86">
        <v>0</v>
      </c>
      <c r="AW48" s="86">
        <v>0</v>
      </c>
      <c r="AX48" s="86">
        <v>0</v>
      </c>
      <c r="AY48" s="86">
        <v>0</v>
      </c>
      <c r="AZ48" s="86">
        <v>0</v>
      </c>
      <c r="BA48" s="86">
        <v>0</v>
      </c>
      <c r="BB48" s="86">
        <v>0</v>
      </c>
      <c r="BC48" s="202">
        <v>18.363408570000001</v>
      </c>
      <c r="BD48" s="202">
        <v>18.205000909999999</v>
      </c>
      <c r="BE48" s="202">
        <v>18.746744209999999</v>
      </c>
      <c r="BF48" s="202">
        <v>18.618568420000003</v>
      </c>
      <c r="BG48" s="202">
        <v>18.87247691</v>
      </c>
      <c r="BH48" s="202">
        <v>19.522800459999999</v>
      </c>
      <c r="BI48" s="202">
        <v>19.554456609999999</v>
      </c>
      <c r="BJ48" s="202">
        <v>18.94872934</v>
      </c>
      <c r="BK48" s="202">
        <v>18.71349794</v>
      </c>
      <c r="BL48" s="202">
        <v>18.387407800000002</v>
      </c>
      <c r="BM48" s="202">
        <v>18.893596510000002</v>
      </c>
      <c r="BN48" s="202">
        <v>18.809400449999998</v>
      </c>
      <c r="BO48" s="202">
        <v>18.957239879999999</v>
      </c>
      <c r="BP48" s="202">
        <v>19.176871690000002</v>
      </c>
      <c r="BQ48" s="86">
        <v>18.445457260000001</v>
      </c>
      <c r="BR48" s="86">
        <v>18.321217530000002</v>
      </c>
      <c r="BS48" s="86">
        <v>18.639265170000002</v>
      </c>
      <c r="BT48" s="86">
        <v>18.724805620000001</v>
      </c>
      <c r="BU48" s="86">
        <v>18.850243219999999</v>
      </c>
      <c r="BV48" s="86">
        <v>17.769241449999999</v>
      </c>
      <c r="BW48" s="86">
        <v>17.44273115</v>
      </c>
      <c r="BX48" s="86">
        <v>17.797338289999999</v>
      </c>
      <c r="BY48" s="86">
        <v>17.918766569999999</v>
      </c>
      <c r="BZ48" s="236">
        <v>17.955518820000002</v>
      </c>
      <c r="CA48" s="236">
        <v>17.971901600000002</v>
      </c>
      <c r="CB48" s="236">
        <v>17.212263320000002</v>
      </c>
      <c r="CC48" s="236">
        <v>32.334980639999998</v>
      </c>
      <c r="CD48" s="236">
        <v>32.630885290000002</v>
      </c>
      <c r="CE48" s="236">
        <v>31.751914429999999</v>
      </c>
      <c r="CF48" s="236">
        <v>31.49251482</v>
      </c>
      <c r="CG48" s="236">
        <v>40.27178121</v>
      </c>
      <c r="CH48" s="236">
        <v>39.384868359999999</v>
      </c>
      <c r="CI48" s="236">
        <v>40.328107750000001</v>
      </c>
      <c r="CJ48" s="236">
        <v>40.252498450000004</v>
      </c>
      <c r="CK48" s="236">
        <v>40.252498450000004</v>
      </c>
    </row>
    <row r="49" spans="1:116" s="46" customFormat="1">
      <c r="A49" s="1" t="s">
        <v>292</v>
      </c>
      <c r="B49" s="126" t="s">
        <v>293</v>
      </c>
      <c r="C49" s="45" t="s">
        <v>292</v>
      </c>
      <c r="D49" s="86">
        <v>0</v>
      </c>
      <c r="E49" s="86"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  <c r="M49" s="86">
        <v>0</v>
      </c>
      <c r="N49" s="86">
        <v>0</v>
      </c>
      <c r="O49" s="86">
        <v>0</v>
      </c>
      <c r="P49" s="86">
        <v>0</v>
      </c>
      <c r="Q49" s="86">
        <v>0</v>
      </c>
      <c r="R49" s="86">
        <v>0</v>
      </c>
      <c r="S49" s="86">
        <v>0</v>
      </c>
      <c r="T49" s="86">
        <v>0</v>
      </c>
      <c r="U49" s="86">
        <v>0</v>
      </c>
      <c r="V49" s="86">
        <v>0</v>
      </c>
      <c r="W49" s="86">
        <v>0</v>
      </c>
      <c r="X49" s="86">
        <v>0</v>
      </c>
      <c r="Y49" s="86">
        <v>0</v>
      </c>
      <c r="Z49" s="86">
        <v>0</v>
      </c>
      <c r="AA49" s="86">
        <v>0</v>
      </c>
      <c r="AB49" s="86">
        <v>0</v>
      </c>
      <c r="AC49" s="86">
        <v>0</v>
      </c>
      <c r="AD49" s="86">
        <v>0</v>
      </c>
      <c r="AE49" s="86">
        <v>0</v>
      </c>
      <c r="AF49" s="86">
        <v>0</v>
      </c>
      <c r="AG49" s="86">
        <v>0</v>
      </c>
      <c r="AH49" s="86">
        <v>0</v>
      </c>
      <c r="AI49" s="86">
        <v>0</v>
      </c>
      <c r="AJ49" s="86">
        <v>0</v>
      </c>
      <c r="AK49" s="86">
        <v>0</v>
      </c>
      <c r="AL49" s="86">
        <v>0</v>
      </c>
      <c r="AM49" s="86">
        <v>0</v>
      </c>
      <c r="AN49" s="86">
        <v>0</v>
      </c>
      <c r="AO49" s="86">
        <v>0</v>
      </c>
      <c r="AP49" s="86">
        <v>0</v>
      </c>
      <c r="AQ49" s="86">
        <v>0</v>
      </c>
      <c r="AR49" s="86">
        <v>0</v>
      </c>
      <c r="AS49" s="86">
        <v>0</v>
      </c>
      <c r="AT49" s="86">
        <v>0</v>
      </c>
      <c r="AU49" s="86">
        <v>0</v>
      </c>
      <c r="AV49" s="86">
        <v>0</v>
      </c>
      <c r="AW49" s="86">
        <v>0</v>
      </c>
      <c r="AX49" s="86">
        <v>0</v>
      </c>
      <c r="AY49" s="86">
        <v>0</v>
      </c>
      <c r="AZ49" s="86">
        <v>0</v>
      </c>
      <c r="BA49" s="86">
        <v>0</v>
      </c>
      <c r="BB49" s="86">
        <v>0</v>
      </c>
      <c r="BC49" s="86">
        <v>0</v>
      </c>
      <c r="BD49" s="86">
        <v>0</v>
      </c>
      <c r="BE49" s="86">
        <v>0</v>
      </c>
      <c r="BF49" s="86">
        <v>0</v>
      </c>
      <c r="BG49" s="86">
        <v>0</v>
      </c>
      <c r="BH49" s="86">
        <v>0</v>
      </c>
      <c r="BI49" s="86">
        <v>0</v>
      </c>
      <c r="BJ49" s="86">
        <v>0</v>
      </c>
      <c r="BK49" s="86">
        <v>0</v>
      </c>
      <c r="BL49" s="86">
        <v>0</v>
      </c>
      <c r="BM49" s="86">
        <v>0</v>
      </c>
      <c r="BN49" s="86">
        <v>0</v>
      </c>
      <c r="BO49" s="86">
        <v>0</v>
      </c>
      <c r="BP49" s="86">
        <v>0</v>
      </c>
      <c r="BQ49" s="86">
        <f>[4]JUN23!$B$114</f>
        <v>32.137206149999997</v>
      </c>
      <c r="BR49" s="86">
        <v>64.960887850000006</v>
      </c>
      <c r="BS49" s="86">
        <v>66.088577999999998</v>
      </c>
      <c r="BT49" s="86">
        <v>66.391875749999997</v>
      </c>
      <c r="BU49" s="86">
        <v>66.836635369999996</v>
      </c>
      <c r="BV49" s="86">
        <v>65.253900430000002</v>
      </c>
      <c r="BW49" s="86">
        <v>64.054858199999998</v>
      </c>
      <c r="BX49" s="86">
        <v>67.544517780000007</v>
      </c>
      <c r="BY49" s="86">
        <v>68.005362790000007</v>
      </c>
      <c r="BZ49" s="236">
        <v>68.144845079999996</v>
      </c>
      <c r="CA49" s="236">
        <v>81.683298400000012</v>
      </c>
      <c r="CB49" s="236">
        <v>81.128133259999998</v>
      </c>
      <c r="CC49" s="236">
        <v>81.183309950000009</v>
      </c>
      <c r="CD49" s="236">
        <v>84.053992219999998</v>
      </c>
      <c r="CE49" s="236">
        <v>81.789848620000001</v>
      </c>
      <c r="CF49" s="236">
        <v>81.12166040999999</v>
      </c>
      <c r="CG49" s="236">
        <v>83.69020501</v>
      </c>
      <c r="CH49" s="236">
        <v>84.246732399999999</v>
      </c>
      <c r="CI49" s="236">
        <v>86.264381310000005</v>
      </c>
      <c r="CJ49" s="236">
        <v>86.10264823</v>
      </c>
      <c r="CK49" s="236">
        <v>86.10264823</v>
      </c>
    </row>
    <row r="50" spans="1:116" s="35" customFormat="1">
      <c r="A50" s="32"/>
      <c r="B50" s="159" t="s">
        <v>79</v>
      </c>
      <c r="C50" s="34"/>
      <c r="D50" s="217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8"/>
      <c r="AC50" s="217"/>
      <c r="AD50" s="217"/>
      <c r="AE50" s="217"/>
      <c r="AF50" s="217"/>
      <c r="AG50" s="217"/>
      <c r="AH50" s="219"/>
      <c r="AI50" s="220"/>
      <c r="AJ50" s="220"/>
      <c r="AK50" s="220"/>
      <c r="AL50" s="220"/>
      <c r="AM50" s="221"/>
      <c r="AN50" s="221"/>
      <c r="AO50" s="221"/>
      <c r="AP50" s="221"/>
      <c r="AQ50" s="221"/>
      <c r="AR50" s="221"/>
      <c r="AS50" s="221"/>
      <c r="AT50" s="221"/>
      <c r="AU50" s="222"/>
      <c r="AV50" s="223"/>
      <c r="AW50" s="223"/>
      <c r="AX50" s="217"/>
      <c r="AY50" s="217"/>
      <c r="AZ50" s="217"/>
      <c r="BA50" s="217"/>
      <c r="BB50" s="217"/>
      <c r="BC50" s="217"/>
      <c r="BD50" s="217"/>
      <c r="BE50" s="217"/>
      <c r="BF50" s="217"/>
      <c r="BG50" s="217"/>
      <c r="BH50" s="217"/>
      <c r="BI50" s="217"/>
      <c r="BJ50" s="217"/>
      <c r="BK50" s="217"/>
      <c r="BL50" s="217"/>
      <c r="BM50" s="217"/>
      <c r="DL50" s="36"/>
    </row>
    <row r="51" spans="1:116" s="46" customFormat="1">
      <c r="A51" s="42" t="s">
        <v>126</v>
      </c>
      <c r="B51" s="168" t="s">
        <v>29</v>
      </c>
      <c r="C51" s="80" t="s">
        <v>126</v>
      </c>
      <c r="D51" s="77">
        <f>SUM(D52,D55)</f>
        <v>41.314230500000001</v>
      </c>
      <c r="E51" s="77">
        <f t="shared" ref="E51:J51" si="60">SUM(E52,E55)</f>
        <v>33.090198239999999</v>
      </c>
      <c r="F51" s="77">
        <f t="shared" si="60"/>
        <v>79.480248879999991</v>
      </c>
      <c r="G51" s="77">
        <f t="shared" si="60"/>
        <v>11.50766625</v>
      </c>
      <c r="H51" s="77">
        <f t="shared" si="60"/>
        <v>36.456309000000005</v>
      </c>
      <c r="I51" s="77">
        <f t="shared" si="60"/>
        <v>70.778830429999999</v>
      </c>
      <c r="J51" s="77">
        <f t="shared" si="60"/>
        <v>40.211527200000006</v>
      </c>
      <c r="K51" s="77">
        <v>59.839047326012661</v>
      </c>
      <c r="L51" s="77">
        <v>74.150360679576863</v>
      </c>
      <c r="M51" s="77">
        <v>43.240671998788933</v>
      </c>
      <c r="N51" s="77">
        <v>58.097881429407316</v>
      </c>
      <c r="O51" s="77">
        <v>58.533784164241247</v>
      </c>
      <c r="P51" s="77">
        <v>30.248793756028075</v>
      </c>
      <c r="Q51" s="77">
        <v>47.603233859043243</v>
      </c>
      <c r="R51" s="77">
        <v>71.239370039584927</v>
      </c>
      <c r="S51" s="77">
        <v>30.257918693449419</v>
      </c>
      <c r="T51" s="77">
        <v>48.23856203791658</v>
      </c>
      <c r="U51" s="77">
        <v>47.787052912632646</v>
      </c>
      <c r="V51" s="77">
        <v>47.815511289118852</v>
      </c>
      <c r="W51" s="77">
        <v>49.711243923017967</v>
      </c>
      <c r="X51" s="77">
        <v>81.196036114865137</v>
      </c>
      <c r="Y51" s="77">
        <v>35.388553025532886</v>
      </c>
      <c r="Z51" s="77">
        <v>47.994300163372863</v>
      </c>
      <c r="AA51" s="77">
        <v>62.181980027934301</v>
      </c>
      <c r="AB51" s="77">
        <v>24.9328144429922</v>
      </c>
      <c r="AC51" s="76">
        <f t="shared" ref="AC51:AH51" si="61">SUM(AC52,AC55)</f>
        <v>38.027912899119087</v>
      </c>
      <c r="AD51" s="76">
        <f t="shared" si="61"/>
        <v>87.073526975170751</v>
      </c>
      <c r="AE51" s="76">
        <f t="shared" si="61"/>
        <v>31.613611617008054</v>
      </c>
      <c r="AF51" s="76">
        <f t="shared" si="61"/>
        <v>40.751804429828944</v>
      </c>
      <c r="AG51" s="76">
        <f t="shared" si="61"/>
        <v>64.176555100603807</v>
      </c>
      <c r="AH51" s="76">
        <f t="shared" si="61"/>
        <v>46.008648505135135</v>
      </c>
      <c r="AI51" s="76">
        <f t="shared" ref="AI51:AN51" si="62">SUM(AI52,AI55)</f>
        <v>45.645482827638389</v>
      </c>
      <c r="AJ51" s="76">
        <f t="shared" si="62"/>
        <v>492.20488823999995</v>
      </c>
      <c r="AK51" s="76">
        <f t="shared" si="62"/>
        <v>33.308411388621863</v>
      </c>
      <c r="AL51" s="207">
        <f t="shared" si="62"/>
        <v>51.768007249270994</v>
      </c>
      <c r="AM51" s="207">
        <f t="shared" si="62"/>
        <v>40.412109913398112</v>
      </c>
      <c r="AN51" s="207">
        <f t="shared" si="62"/>
        <v>31.740743277014179</v>
      </c>
      <c r="AO51" s="207">
        <f t="shared" ref="AO51:AT51" si="63">SUM(AO52,AO55)</f>
        <v>49.885426534164573</v>
      </c>
      <c r="AP51" s="201">
        <f t="shared" si="63"/>
        <v>39.94035143</v>
      </c>
      <c r="AQ51" s="201">
        <f t="shared" si="63"/>
        <v>31.971609190000002</v>
      </c>
      <c r="AR51" s="201">
        <f t="shared" si="63"/>
        <v>61.009933459999999</v>
      </c>
      <c r="AS51" s="201">
        <f t="shared" si="63"/>
        <v>115.97824783999999</v>
      </c>
      <c r="AT51" s="201">
        <f t="shared" si="63"/>
        <v>58.421234825149362</v>
      </c>
      <c r="AU51" s="201">
        <f>SUM(AU52,AU55)</f>
        <v>61.214777869999999</v>
      </c>
      <c r="AV51" s="201">
        <f>SUM(AV52,AV55)</f>
        <v>58.050173138946462</v>
      </c>
      <c r="AW51" s="201">
        <f>SUM(AW52,AW55)</f>
        <v>36.671204497218127</v>
      </c>
      <c r="AX51" s="201">
        <f>SUM(AX52,AX55)</f>
        <v>61.552607385452866</v>
      </c>
      <c r="AY51" s="201">
        <f t="shared" ref="AY51:BF51" si="64">SUM(AY52,AY55)</f>
        <v>81.493693499999992</v>
      </c>
      <c r="AZ51" s="201">
        <f t="shared" si="64"/>
        <v>55.202991339999997</v>
      </c>
      <c r="BA51" s="201">
        <f t="shared" si="64"/>
        <v>67.330793700000001</v>
      </c>
      <c r="BB51" s="201">
        <f t="shared" si="64"/>
        <v>93.845426399999994</v>
      </c>
      <c r="BC51" s="201">
        <f t="shared" si="64"/>
        <v>20.872677449999998</v>
      </c>
      <c r="BD51" s="201">
        <f t="shared" si="64"/>
        <v>66.638227059999991</v>
      </c>
      <c r="BE51" s="201">
        <f t="shared" si="64"/>
        <v>63.737717700000005</v>
      </c>
      <c r="BF51" s="201">
        <f t="shared" si="64"/>
        <v>52.139234019999996</v>
      </c>
      <c r="BG51" s="201">
        <f t="shared" ref="BG51:BI51" si="65">SUM(BG52,BG55)</f>
        <v>66.802919689999996</v>
      </c>
      <c r="BH51" s="201">
        <f t="shared" si="65"/>
        <v>89.860508499179076</v>
      </c>
      <c r="BI51" s="201">
        <f t="shared" si="65"/>
        <v>28.527290102241047</v>
      </c>
      <c r="BJ51" s="201">
        <f t="shared" ref="BJ51:BP51" si="66">SUM(BJ52,BJ55)</f>
        <v>76.01179057048121</v>
      </c>
      <c r="BK51" s="201">
        <f t="shared" si="66"/>
        <v>60.331114342458868</v>
      </c>
      <c r="BL51" s="201">
        <f t="shared" si="66"/>
        <v>51.089146738379121</v>
      </c>
      <c r="BM51" s="201">
        <f t="shared" si="66"/>
        <v>57.046574280985652</v>
      </c>
      <c r="BN51" s="201">
        <f t="shared" si="66"/>
        <v>98.547084389999995</v>
      </c>
      <c r="BO51" s="201">
        <f t="shared" si="66"/>
        <v>30.268525919999998</v>
      </c>
      <c r="BP51" s="201">
        <f t="shared" si="66"/>
        <v>73.922721019999997</v>
      </c>
      <c r="BQ51" s="201">
        <f t="shared" ref="BQ51:BR51" si="67">SUM(BQ52,BQ55)</f>
        <v>63.069227181872435</v>
      </c>
      <c r="BR51" s="201">
        <f t="shared" si="67"/>
        <v>47.738661270705236</v>
      </c>
      <c r="BS51" s="201">
        <f t="shared" ref="BS51:BT51" si="68">SUM(BS52,BS55)</f>
        <v>64.425602306036353</v>
      </c>
      <c r="BT51" s="201">
        <f t="shared" si="68"/>
        <v>100.21710114404939</v>
      </c>
      <c r="BU51" s="201">
        <f t="shared" ref="BU51:BV51" si="69">SUM(BU52,BU55)</f>
        <v>60.906305328078219</v>
      </c>
      <c r="BV51" s="201">
        <f t="shared" si="69"/>
        <v>96.285876302665102</v>
      </c>
      <c r="BW51" s="201">
        <f t="shared" ref="BW51:CC51" si="70">SUM(BW52,BW55)</f>
        <v>98.643949689589192</v>
      </c>
      <c r="BX51" s="201">
        <f t="shared" si="70"/>
        <v>72.154871628007186</v>
      </c>
      <c r="BY51" s="201">
        <f t="shared" si="70"/>
        <v>72.781579628006966</v>
      </c>
      <c r="BZ51" s="201">
        <f t="shared" si="70"/>
        <v>110.54369505</v>
      </c>
      <c r="CA51" s="201">
        <f t="shared" si="70"/>
        <v>74.34829617996489</v>
      </c>
      <c r="CB51" s="201">
        <f t="shared" si="70"/>
        <v>112.4308475618499</v>
      </c>
      <c r="CC51" s="201">
        <f t="shared" si="70"/>
        <v>88.940466520000001</v>
      </c>
      <c r="CD51" s="201">
        <f t="shared" ref="CD51:CE51" si="71">SUM(CD52,CD55)</f>
        <v>61.560558719999989</v>
      </c>
      <c r="CE51" s="201">
        <f t="shared" si="71"/>
        <v>73.852943550000006</v>
      </c>
      <c r="CF51" s="201">
        <f t="shared" ref="CF51:CG51" si="72">SUM(CF52,CF55)</f>
        <v>95.87393320000001</v>
      </c>
      <c r="CG51" s="201">
        <f t="shared" si="72"/>
        <v>50.192279499999998</v>
      </c>
      <c r="CH51" s="201">
        <f t="shared" ref="CH51:CI51" si="73">SUM(CH52,CH55)</f>
        <v>84.016988789999999</v>
      </c>
      <c r="CI51" s="201">
        <f t="shared" si="73"/>
        <v>68.022447999999997</v>
      </c>
      <c r="CJ51" s="201">
        <f t="shared" ref="CJ51:CK51" si="74">SUM(CJ52,CJ55)</f>
        <v>41.134225200000003</v>
      </c>
      <c r="CK51" s="201">
        <f t="shared" si="74"/>
        <v>82.770052799999988</v>
      </c>
      <c r="DL51" s="42"/>
    </row>
    <row r="52" spans="1:116" s="25" customFormat="1">
      <c r="A52" s="24" t="s">
        <v>127</v>
      </c>
      <c r="B52" s="161" t="s">
        <v>80</v>
      </c>
      <c r="C52" s="80" t="s">
        <v>127</v>
      </c>
      <c r="D52" s="81">
        <f>SUM(D53,D54)</f>
        <v>41.314230500000001</v>
      </c>
      <c r="E52" s="81">
        <f t="shared" ref="E52:J52" si="75">SUM(E53,E54)</f>
        <v>24.790198239999999</v>
      </c>
      <c r="F52" s="81">
        <f t="shared" si="75"/>
        <v>40.180248879999994</v>
      </c>
      <c r="G52" s="81">
        <f t="shared" si="75"/>
        <v>11.50766625</v>
      </c>
      <c r="H52" s="81">
        <f t="shared" si="75"/>
        <v>33.956309000000005</v>
      </c>
      <c r="I52" s="81">
        <f t="shared" si="75"/>
        <v>69.978830430000002</v>
      </c>
      <c r="J52" s="81">
        <f t="shared" si="75"/>
        <v>40.011527200000003</v>
      </c>
      <c r="K52" s="111">
        <v>50.446150169999996</v>
      </c>
      <c r="L52" s="111">
        <v>34.73484895</v>
      </c>
      <c r="M52" s="111">
        <v>42.964077600000003</v>
      </c>
      <c r="N52" s="111">
        <v>54.701625199999995</v>
      </c>
      <c r="O52" s="111">
        <v>57.326211069999999</v>
      </c>
      <c r="P52" s="111">
        <v>30.094817310000003</v>
      </c>
      <c r="Q52" s="111">
        <v>37.657958090000001</v>
      </c>
      <c r="R52" s="111">
        <v>45.740759130000001</v>
      </c>
      <c r="S52" s="111">
        <v>15.675561959999998</v>
      </c>
      <c r="T52" s="111">
        <v>43.885834720000005</v>
      </c>
      <c r="U52" s="111">
        <v>46.987775679999999</v>
      </c>
      <c r="V52" s="111">
        <v>47.645486759999997</v>
      </c>
      <c r="W52" s="111">
        <v>39.070859939999998</v>
      </c>
      <c r="X52" s="111">
        <v>43.76698811</v>
      </c>
      <c r="Y52" s="111">
        <v>32.836555079999997</v>
      </c>
      <c r="Z52" s="111">
        <v>43.865386000000001</v>
      </c>
      <c r="AA52" s="111">
        <v>61.474182259999999</v>
      </c>
      <c r="AB52" s="111">
        <v>24.789533089999999</v>
      </c>
      <c r="AC52" s="112">
        <f t="shared" ref="AC52:AH52" si="76">SUM(AC53:AC54)</f>
        <v>27.637729350000001</v>
      </c>
      <c r="AD52" s="112">
        <f t="shared" si="76"/>
        <v>63.188294569999996</v>
      </c>
      <c r="AE52" s="112">
        <f t="shared" si="76"/>
        <v>13.76002523</v>
      </c>
      <c r="AF52" s="112">
        <f t="shared" si="76"/>
        <v>37.42425111</v>
      </c>
      <c r="AG52" s="112">
        <f t="shared" si="76"/>
        <v>62.234104259999995</v>
      </c>
      <c r="AH52" s="112">
        <f t="shared" si="76"/>
        <v>44.517464570000001</v>
      </c>
      <c r="AI52" s="76">
        <f t="shared" ref="AI52:AN52" si="77">SUM(AI53:AI54)</f>
        <v>35.547918809999999</v>
      </c>
      <c r="AJ52" s="76">
        <f t="shared" si="77"/>
        <v>47.493977139999998</v>
      </c>
      <c r="AK52" s="76">
        <f t="shared" si="77"/>
        <v>33.033122149999997</v>
      </c>
      <c r="AL52" s="207">
        <f t="shared" si="77"/>
        <v>48.704157009999996</v>
      </c>
      <c r="AM52" s="207">
        <f t="shared" si="77"/>
        <v>38.776741369999996</v>
      </c>
      <c r="AN52" s="207">
        <f t="shared" si="77"/>
        <v>30.784687049999999</v>
      </c>
      <c r="AO52" s="207">
        <f t="shared" ref="AO52:AU52" si="78">SUM(AO53:AO54)</f>
        <v>40.826321149999998</v>
      </c>
      <c r="AP52" s="201">
        <f>SUM(AP53:AP54)</f>
        <v>39.710472279999998</v>
      </c>
      <c r="AQ52" s="201">
        <f t="shared" si="78"/>
        <v>28.060868800000001</v>
      </c>
      <c r="AR52" s="201">
        <f t="shared" si="78"/>
        <v>58.545748979999999</v>
      </c>
      <c r="AS52" s="201">
        <f t="shared" si="78"/>
        <v>114.1393339</v>
      </c>
      <c r="AT52" s="201">
        <f t="shared" si="78"/>
        <v>57.818005280000001</v>
      </c>
      <c r="AU52" s="201">
        <f t="shared" si="78"/>
        <v>56.010600230000001</v>
      </c>
      <c r="AV52" s="201">
        <f>SUM(AV53:AV54)</f>
        <v>51.321484750000003</v>
      </c>
      <c r="AW52" s="201">
        <f>SUM(AW53:AW54)</f>
        <v>33.701315140000005</v>
      </c>
      <c r="AX52" s="201">
        <f>SUM(AX53:AX54)</f>
        <v>55.667904470000003</v>
      </c>
      <c r="AY52" s="201">
        <f>SUM(AY53:AY54)</f>
        <v>79.069397839999993</v>
      </c>
      <c r="AZ52" s="201">
        <v>54.342495329999998</v>
      </c>
      <c r="BA52" s="201">
        <v>55.75339967</v>
      </c>
      <c r="BB52" s="201">
        <f>SUM(BB53:BB54)</f>
        <v>63.545644429999996</v>
      </c>
      <c r="BC52" s="201">
        <f t="shared" ref="BC52:BI52" si="79">SUM(BC53:BC54)</f>
        <v>18.040987189999999</v>
      </c>
      <c r="BD52" s="201">
        <f t="shared" si="79"/>
        <v>59.882295749999997</v>
      </c>
      <c r="BE52" s="201">
        <f t="shared" si="79"/>
        <v>59.700605830000001</v>
      </c>
      <c r="BF52" s="201">
        <f t="shared" si="79"/>
        <v>50.894915339999997</v>
      </c>
      <c r="BG52" s="201">
        <f t="shared" si="79"/>
        <v>54.105154559999995</v>
      </c>
      <c r="BH52" s="201">
        <f t="shared" si="79"/>
        <v>57.789633649999999</v>
      </c>
      <c r="BI52" s="201">
        <f t="shared" si="79"/>
        <v>21.695180699999998</v>
      </c>
      <c r="BJ52" s="201">
        <f t="shared" ref="BJ52:BK52" si="80">SUM(BJ53:BJ54)</f>
        <v>61.658270710000004</v>
      </c>
      <c r="BK52" s="201">
        <f t="shared" si="80"/>
        <v>47.993268709999995</v>
      </c>
      <c r="BL52" s="201">
        <f t="shared" ref="BL52:BM52" si="81">SUM(BL53:BL54)</f>
        <v>38.913624990000002</v>
      </c>
      <c r="BM52" s="201">
        <f t="shared" si="81"/>
        <v>46.824408520000006</v>
      </c>
      <c r="BN52" s="201">
        <f t="shared" ref="BN52:BO52" si="82">SUM(BN53:BN54)</f>
        <v>63.834755579999992</v>
      </c>
      <c r="BO52" s="201">
        <f t="shared" si="82"/>
        <v>16.184704349999997</v>
      </c>
      <c r="BP52" s="201">
        <f t="shared" ref="BP52:BQ52" si="83">SUM(BP53:BP54)</f>
        <v>53.029995139999997</v>
      </c>
      <c r="BQ52" s="201">
        <f t="shared" si="83"/>
        <v>41.456887999999999</v>
      </c>
      <c r="BR52" s="201">
        <f t="shared" ref="BR52:BS52" si="84">SUM(BR53:BR54)</f>
        <v>33.168717139999998</v>
      </c>
      <c r="BS52" s="201">
        <f t="shared" si="84"/>
        <v>53.788525270000008</v>
      </c>
      <c r="BT52" s="201">
        <f t="shared" ref="BT52:BU52" si="85">SUM(BT53:BT54)</f>
        <v>66.370666409999984</v>
      </c>
      <c r="BU52" s="201">
        <f t="shared" si="85"/>
        <v>24.650746609999999</v>
      </c>
      <c r="BV52" s="201">
        <f t="shared" ref="BV52" si="86">SUM(BV53:BV54)</f>
        <v>70.500694159999995</v>
      </c>
      <c r="BW52" s="201">
        <f t="shared" ref="BW52:CC52" si="87">SUM(BW53:BW54)</f>
        <v>63.480273210000007</v>
      </c>
      <c r="BX52" s="201">
        <f t="shared" si="87"/>
        <v>56.917205559999999</v>
      </c>
      <c r="BY52" s="201">
        <f t="shared" si="87"/>
        <v>61.660828000000002</v>
      </c>
      <c r="BZ52" s="201">
        <f t="shared" si="87"/>
        <v>77.002704999999992</v>
      </c>
      <c r="CA52" s="201">
        <f t="shared" si="87"/>
        <v>38.653478730000003</v>
      </c>
      <c r="CB52" s="201">
        <f t="shared" si="87"/>
        <v>86.79556525000001</v>
      </c>
      <c r="CC52" s="201">
        <f t="shared" si="87"/>
        <v>52.904571250000004</v>
      </c>
      <c r="CD52" s="201">
        <f t="shared" ref="CD52:CE52" si="88">SUM(CD53:CD54)</f>
        <v>46.364555749999994</v>
      </c>
      <c r="CE52" s="201">
        <f t="shared" si="88"/>
        <v>62.661247000000003</v>
      </c>
      <c r="CF52" s="201">
        <f t="shared" ref="CF52:CG52" si="89">SUM(CF53:CF54)</f>
        <v>62.60848</v>
      </c>
      <c r="CG52" s="201">
        <f t="shared" si="89"/>
        <v>15.1171811</v>
      </c>
      <c r="CH52" s="201">
        <f t="shared" ref="CH52:CI52" si="90">SUM(CH53:CH54)</f>
        <v>56.306879299999999</v>
      </c>
      <c r="CI52" s="201">
        <f t="shared" si="90"/>
        <v>31.2066263</v>
      </c>
      <c r="CJ52" s="201">
        <f t="shared" ref="CJ52:CK52" si="91">SUM(CJ53:CJ54)</f>
        <v>23.122785100000002</v>
      </c>
      <c r="CK52" s="201">
        <f t="shared" si="91"/>
        <v>69.778270499999991</v>
      </c>
      <c r="CM52" s="249"/>
    </row>
    <row r="53" spans="1:116" s="46" customFormat="1">
      <c r="A53" s="126" t="s">
        <v>128</v>
      </c>
      <c r="B53" s="169" t="s">
        <v>81</v>
      </c>
      <c r="C53" s="45" t="s">
        <v>128</v>
      </c>
      <c r="D53" s="83">
        <v>10.1</v>
      </c>
      <c r="E53" s="83">
        <v>4</v>
      </c>
      <c r="F53" s="83">
        <v>17.7</v>
      </c>
      <c r="G53" s="83">
        <v>0</v>
      </c>
      <c r="H53" s="83">
        <v>15.07</v>
      </c>
      <c r="I53" s="83">
        <v>37.259</v>
      </c>
      <c r="J53" s="83">
        <v>19.100000000000001</v>
      </c>
      <c r="K53" s="83">
        <v>29.7</v>
      </c>
      <c r="L53" s="84">
        <v>12.8</v>
      </c>
      <c r="M53" s="108">
        <v>30.96</v>
      </c>
      <c r="N53" s="83">
        <v>31.4</v>
      </c>
      <c r="O53" s="108">
        <v>25.2</v>
      </c>
      <c r="P53" s="84">
        <v>8.1999999999999993</v>
      </c>
      <c r="Q53" s="79">
        <v>12.5</v>
      </c>
      <c r="R53" s="108">
        <v>24.4</v>
      </c>
      <c r="S53" s="83">
        <v>4.6500000000000004</v>
      </c>
      <c r="T53" s="108">
        <v>17.2</v>
      </c>
      <c r="U53" s="108">
        <v>17.167000000000002</v>
      </c>
      <c r="V53" s="108">
        <v>21.1</v>
      </c>
      <c r="W53" s="108">
        <v>14.9</v>
      </c>
      <c r="X53" s="108">
        <v>19.649999999999999</v>
      </c>
      <c r="Y53" s="108">
        <v>18.399999999999999</v>
      </c>
      <c r="Z53" s="108">
        <v>17.7</v>
      </c>
      <c r="AA53" s="108">
        <v>30.3</v>
      </c>
      <c r="AB53" s="108">
        <v>0</v>
      </c>
      <c r="AC53" s="108">
        <v>3.8</v>
      </c>
      <c r="AD53" s="86">
        <v>32.1</v>
      </c>
      <c r="AE53" s="86">
        <v>0</v>
      </c>
      <c r="AF53" s="86">
        <v>11.1</v>
      </c>
      <c r="AG53" s="86">
        <v>27.808</v>
      </c>
      <c r="AH53" s="208">
        <v>18.32</v>
      </c>
      <c r="AI53" s="79">
        <v>12</v>
      </c>
      <c r="AJ53" s="214">
        <v>10.8</v>
      </c>
      <c r="AK53" s="214">
        <v>16.153916899999999</v>
      </c>
      <c r="AL53" s="173">
        <v>10</v>
      </c>
      <c r="AM53" s="173">
        <v>9.1999999999999993</v>
      </c>
      <c r="AN53" s="173">
        <v>6.4121564400000004</v>
      </c>
      <c r="AO53" s="173">
        <v>14.3</v>
      </c>
      <c r="AP53" s="173">
        <v>0.3</v>
      </c>
      <c r="AQ53" s="184">
        <v>11.48674454</v>
      </c>
      <c r="AR53" s="184">
        <v>20.5</v>
      </c>
      <c r="AS53" s="184">
        <v>80.254206430000011</v>
      </c>
      <c r="AT53" s="184">
        <v>31.1</v>
      </c>
      <c r="AU53" s="184">
        <v>30.26</v>
      </c>
      <c r="AV53" s="184">
        <v>12.6</v>
      </c>
      <c r="AW53" s="84">
        <v>17.5</v>
      </c>
      <c r="AX53" s="86">
        <v>18.600000000000001</v>
      </c>
      <c r="AY53" s="86">
        <v>47.905000000000001</v>
      </c>
      <c r="AZ53" s="86">
        <v>28.9</v>
      </c>
      <c r="BA53" s="86">
        <v>21.1</v>
      </c>
      <c r="BB53" s="86">
        <v>25.195</v>
      </c>
      <c r="BC53" s="202">
        <v>2.8275000000000001</v>
      </c>
      <c r="BD53" s="202">
        <v>19.5</v>
      </c>
      <c r="BE53" s="202">
        <v>31.087</v>
      </c>
      <c r="BF53" s="202">
        <v>27.3</v>
      </c>
      <c r="BG53" s="202">
        <v>20.65</v>
      </c>
      <c r="BH53" s="202">
        <v>17.5</v>
      </c>
      <c r="BI53" s="202">
        <v>6.6</v>
      </c>
      <c r="BJ53" s="202">
        <v>22</v>
      </c>
      <c r="BK53" s="202">
        <v>20.7</v>
      </c>
      <c r="BL53" s="202">
        <f>14.77+1.285</f>
        <v>16.055</v>
      </c>
      <c r="BM53" s="202">
        <v>11</v>
      </c>
      <c r="BN53" s="202">
        <v>24.05</v>
      </c>
      <c r="BO53" s="202">
        <v>1.25</v>
      </c>
      <c r="BP53" s="202">
        <v>10.08</v>
      </c>
      <c r="BQ53" s="86">
        <v>14.804</v>
      </c>
      <c r="BR53" s="86">
        <v>10.785</v>
      </c>
      <c r="BS53" s="86">
        <v>14.1</v>
      </c>
      <c r="BT53" s="86">
        <v>27.33</v>
      </c>
      <c r="BU53" s="86">
        <v>9.6999999999999993</v>
      </c>
      <c r="BV53" s="86">
        <v>26.7</v>
      </c>
      <c r="BW53" s="86">
        <v>37.200000000000003</v>
      </c>
      <c r="BX53" s="86">
        <v>34.780999999999999</v>
      </c>
      <c r="BY53" s="86">
        <v>19.600000000000001</v>
      </c>
      <c r="BZ53" s="86">
        <v>38.799999999999997</v>
      </c>
      <c r="CA53" s="86">
        <v>23.95</v>
      </c>
      <c r="CB53" s="86">
        <v>38.700000000000003</v>
      </c>
      <c r="CC53" s="86">
        <v>27.884</v>
      </c>
      <c r="CD53" s="86">
        <v>25.4</v>
      </c>
      <c r="CE53" s="86">
        <v>18.350000000000001</v>
      </c>
      <c r="CF53" s="86">
        <v>26.15</v>
      </c>
      <c r="CG53" s="86">
        <v>1</v>
      </c>
      <c r="CH53" s="86">
        <v>4.5999999999999996</v>
      </c>
      <c r="CI53" s="86">
        <v>7.3</v>
      </c>
      <c r="CJ53" s="86">
        <v>2.9169999999999998</v>
      </c>
      <c r="CK53" s="86">
        <v>20.5</v>
      </c>
      <c r="CM53" s="249"/>
    </row>
    <row r="54" spans="1:116">
      <c r="A54" s="1" t="s">
        <v>129</v>
      </c>
      <c r="B54" s="170" t="s">
        <v>82</v>
      </c>
      <c r="C54" s="45" t="s">
        <v>129</v>
      </c>
      <c r="D54" s="82">
        <v>31.214230499999999</v>
      </c>
      <c r="E54" s="82">
        <v>20.790198239999999</v>
      </c>
      <c r="F54" s="82">
        <v>22.480248879999998</v>
      </c>
      <c r="G54" s="82">
        <v>11.50766625</v>
      </c>
      <c r="H54" s="82">
        <v>18.886309000000001</v>
      </c>
      <c r="I54" s="82">
        <v>32.719830430000002</v>
      </c>
      <c r="J54" s="82">
        <v>20.911527200000002</v>
      </c>
      <c r="K54" s="83">
        <v>20.746150170000003</v>
      </c>
      <c r="L54" s="84">
        <v>21.934848949999999</v>
      </c>
      <c r="M54" s="108">
        <v>12.004077600000002</v>
      </c>
      <c r="N54" s="83">
        <v>23.3016252</v>
      </c>
      <c r="O54" s="79">
        <v>32.126211070000004</v>
      </c>
      <c r="P54" s="84">
        <v>21.894817309999997</v>
      </c>
      <c r="Q54" s="84">
        <v>25.157958090000001</v>
      </c>
      <c r="R54" s="84">
        <v>21.340759129999999</v>
      </c>
      <c r="S54" s="83">
        <v>11.025561959999997</v>
      </c>
      <c r="T54" s="108">
        <v>26.685834719999999</v>
      </c>
      <c r="U54" s="108">
        <v>31.287775679999999</v>
      </c>
      <c r="V54" s="108">
        <v>25.30696318</v>
      </c>
      <c r="W54" s="108">
        <v>24.17085994</v>
      </c>
      <c r="X54" s="108">
        <v>24.116988109999998</v>
      </c>
      <c r="Y54" s="108">
        <v>14.43655508</v>
      </c>
      <c r="Z54" s="108">
        <v>26.165386000000002</v>
      </c>
      <c r="AA54" s="108">
        <v>31.174182259999998</v>
      </c>
      <c r="AB54" s="108">
        <v>24.789533089999999</v>
      </c>
      <c r="AC54" s="108">
        <v>23.83772935</v>
      </c>
      <c r="AD54" s="107">
        <v>31.088294569999999</v>
      </c>
      <c r="AE54" s="107">
        <v>13.76002523</v>
      </c>
      <c r="AF54" s="107">
        <v>26.324251109999999</v>
      </c>
      <c r="AG54" s="107">
        <v>34.426104259999995</v>
      </c>
      <c r="AH54" s="148">
        <v>26.197464570000001</v>
      </c>
      <c r="AI54" s="214">
        <v>23.547918809999999</v>
      </c>
      <c r="AJ54" s="214">
        <v>36.693977140000001</v>
      </c>
      <c r="AK54" s="214">
        <v>16.879205249999998</v>
      </c>
      <c r="AL54" s="173">
        <v>38.704157009999996</v>
      </c>
      <c r="AM54" s="173">
        <v>29.576741370000001</v>
      </c>
      <c r="AN54" s="173">
        <v>24.372530609999998</v>
      </c>
      <c r="AO54" s="173">
        <v>26.526321149999998</v>
      </c>
      <c r="AP54" s="184">
        <v>39.41047228</v>
      </c>
      <c r="AQ54" s="184">
        <v>16.574124260000001</v>
      </c>
      <c r="AR54" s="184">
        <v>38.045748979999999</v>
      </c>
      <c r="AS54" s="184">
        <v>33.885127469999993</v>
      </c>
      <c r="AT54" s="184">
        <v>26.71800528</v>
      </c>
      <c r="AU54" s="184">
        <v>25.75060023</v>
      </c>
      <c r="AV54" s="184">
        <v>38.721484750000002</v>
      </c>
      <c r="AW54" s="84">
        <v>16.201315140000002</v>
      </c>
      <c r="AX54" s="86">
        <v>37.067904470000002</v>
      </c>
      <c r="AY54" s="86">
        <v>31.164397839999999</v>
      </c>
      <c r="AZ54" s="86">
        <v>25.44249533</v>
      </c>
      <c r="BA54" s="86">
        <v>34.653399669999999</v>
      </c>
      <c r="BB54" s="86">
        <v>38.350644429999996</v>
      </c>
      <c r="BC54" s="203">
        <v>15.21348719</v>
      </c>
      <c r="BD54" s="202">
        <v>40.382295749999997</v>
      </c>
      <c r="BE54" s="203">
        <v>28.613605829999997</v>
      </c>
      <c r="BF54" s="203">
        <v>23.59491534</v>
      </c>
      <c r="BG54" s="202">
        <v>33.455154559999997</v>
      </c>
      <c r="BH54" s="202">
        <v>40.289633649999999</v>
      </c>
      <c r="BI54" s="202">
        <v>15.095180699999998</v>
      </c>
      <c r="BJ54" s="202">
        <v>39.658270710000004</v>
      </c>
      <c r="BK54" s="202">
        <v>27.29326871</v>
      </c>
      <c r="BL54" s="202">
        <v>22.858624990000003</v>
      </c>
      <c r="BM54" s="202">
        <v>35.824408520000006</v>
      </c>
      <c r="BN54" s="202">
        <v>39.784755579999995</v>
      </c>
      <c r="BO54" s="202">
        <v>14.934704349999999</v>
      </c>
      <c r="BP54" s="202">
        <v>42.949995139999999</v>
      </c>
      <c r="BQ54" s="86">
        <v>26.652888000000001</v>
      </c>
      <c r="BR54" s="86">
        <v>22.383717140000002</v>
      </c>
      <c r="BS54" s="86">
        <v>39.688525270000007</v>
      </c>
      <c r="BT54" s="86">
        <v>39.040666409999993</v>
      </c>
      <c r="BU54" s="86">
        <v>14.950746609999999</v>
      </c>
      <c r="BV54" s="86">
        <v>43.800694159999999</v>
      </c>
      <c r="BW54" s="86">
        <v>26.280273210000001</v>
      </c>
      <c r="BX54" s="86">
        <v>22.136205559999997</v>
      </c>
      <c r="BY54" s="84">
        <v>42.060828000000001</v>
      </c>
      <c r="BZ54" s="84">
        <v>38.202705000000002</v>
      </c>
      <c r="CA54" s="84">
        <v>14.70347873</v>
      </c>
      <c r="CB54" s="86">
        <v>48.09556525</v>
      </c>
      <c r="CC54" s="86">
        <v>25.02057125</v>
      </c>
      <c r="CD54" s="86">
        <v>20.964555749999999</v>
      </c>
      <c r="CE54" s="86">
        <v>44.311247000000002</v>
      </c>
      <c r="CF54" s="86">
        <v>36.458480000000002</v>
      </c>
      <c r="CG54" s="86">
        <v>14.1171811</v>
      </c>
      <c r="CH54" s="86">
        <v>51.706879299999997</v>
      </c>
      <c r="CI54" s="86">
        <v>23.906626299999999</v>
      </c>
      <c r="CJ54" s="86">
        <v>20.2057851</v>
      </c>
      <c r="CK54" s="86">
        <v>49.278270499999998</v>
      </c>
    </row>
    <row r="55" spans="1:116" s="115" customFormat="1">
      <c r="A55" s="127" t="s">
        <v>130</v>
      </c>
      <c r="B55" s="168" t="s">
        <v>83</v>
      </c>
      <c r="C55" s="80" t="s">
        <v>130</v>
      </c>
      <c r="D55" s="111">
        <v>0</v>
      </c>
      <c r="E55" s="111">
        <v>8.3000000000000007</v>
      </c>
      <c r="F55" s="111">
        <v>39.299999999999997</v>
      </c>
      <c r="G55" s="111">
        <v>0</v>
      </c>
      <c r="H55" s="111">
        <v>2.5</v>
      </c>
      <c r="I55" s="111">
        <v>0.8</v>
      </c>
      <c r="J55" s="111">
        <v>0.2</v>
      </c>
      <c r="K55" s="111">
        <f>K56+K57</f>
        <v>9.392897156012662</v>
      </c>
      <c r="L55" s="77">
        <f t="shared" ref="L55:T55" si="92">L56+L57</f>
        <v>39.415511729576863</v>
      </c>
      <c r="M55" s="76">
        <f t="shared" si="92"/>
        <v>0.27659439878892733</v>
      </c>
      <c r="N55" s="111">
        <f t="shared" si="92"/>
        <v>3.3962562294073235</v>
      </c>
      <c r="O55" s="112">
        <f t="shared" si="92"/>
        <v>1.2075730942412459</v>
      </c>
      <c r="P55" s="76">
        <f t="shared" si="92"/>
        <v>0.15397644602807295</v>
      </c>
      <c r="Q55" s="76">
        <f t="shared" si="92"/>
        <v>9.9452757690432421</v>
      </c>
      <c r="R55" s="76">
        <f t="shared" si="92"/>
        <v>25.498610909584929</v>
      </c>
      <c r="S55" s="76">
        <f t="shared" si="92"/>
        <v>14.582356733449419</v>
      </c>
      <c r="T55" s="76">
        <f t="shared" si="92"/>
        <v>4.3527273179165755</v>
      </c>
      <c r="U55" s="112">
        <v>0.79927723263264394</v>
      </c>
      <c r="V55" s="112">
        <v>0.17002452911885699</v>
      </c>
      <c r="W55" s="111">
        <v>10.640383983017969</v>
      </c>
      <c r="X55" s="111">
        <v>37.429048004865145</v>
      </c>
      <c r="Y55" s="111">
        <v>2.5519979455328885</v>
      </c>
      <c r="Z55" s="111">
        <v>4.1289141633728601</v>
      </c>
      <c r="AA55" s="111">
        <v>0.70779776793427063</v>
      </c>
      <c r="AB55" s="111">
        <v>0.14328135299219427</v>
      </c>
      <c r="AC55" s="112">
        <f t="shared" ref="AC55:AH55" si="93">SUM(AC56:AC57)</f>
        <v>10.39018354911909</v>
      </c>
      <c r="AD55" s="112">
        <f t="shared" si="93"/>
        <v>23.885232405170751</v>
      </c>
      <c r="AE55" s="112">
        <f t="shared" si="93"/>
        <v>17.853586387008054</v>
      </c>
      <c r="AF55" s="112">
        <f t="shared" si="93"/>
        <v>3.3275533198289442</v>
      </c>
      <c r="AG55" s="112">
        <f t="shared" si="93"/>
        <v>1.9424508406038146</v>
      </c>
      <c r="AH55" s="112">
        <f t="shared" si="93"/>
        <v>1.491183935135135</v>
      </c>
      <c r="AI55" s="76">
        <f t="shared" ref="AI55:AX55" si="94">SUM(AI56:AI57)</f>
        <v>10.097564017638391</v>
      </c>
      <c r="AJ55" s="76">
        <f t="shared" si="94"/>
        <v>444.71091109999998</v>
      </c>
      <c r="AK55" s="76">
        <f t="shared" si="94"/>
        <v>0.275289238621863</v>
      </c>
      <c r="AL55" s="207">
        <f t="shared" si="94"/>
        <v>3.0638502392709981</v>
      </c>
      <c r="AM55" s="207">
        <f t="shared" si="94"/>
        <v>1.6353685433981191</v>
      </c>
      <c r="AN55" s="207">
        <f t="shared" si="94"/>
        <v>0.95605622701417903</v>
      </c>
      <c r="AO55" s="207">
        <f t="shared" si="94"/>
        <v>9.0591053841645763</v>
      </c>
      <c r="AP55" s="201">
        <f>SUM(AP56:AP57)</f>
        <v>0.22987914999999998</v>
      </c>
      <c r="AQ55" s="201">
        <f t="shared" si="94"/>
        <v>3.9107403900000004</v>
      </c>
      <c r="AR55" s="201">
        <f t="shared" si="94"/>
        <v>2.4641844800000001</v>
      </c>
      <c r="AS55" s="201">
        <f t="shared" si="94"/>
        <v>1.8389139400000003</v>
      </c>
      <c r="AT55" s="201">
        <f t="shared" si="94"/>
        <v>0.60322954514936278</v>
      </c>
      <c r="AU55" s="201">
        <f t="shared" si="94"/>
        <v>5.2041776399999993</v>
      </c>
      <c r="AV55" s="201">
        <f t="shared" si="94"/>
        <v>6.7286883889464626</v>
      </c>
      <c r="AW55" s="201">
        <f t="shared" si="94"/>
        <v>2.9698893572181229</v>
      </c>
      <c r="AX55" s="201">
        <f t="shared" si="94"/>
        <v>5.8847029154528601</v>
      </c>
      <c r="AY55" s="201">
        <f>SUM(AY56:AY57)</f>
        <v>2.4242956599999999</v>
      </c>
      <c r="AZ55" s="201">
        <v>0.86049600999999998</v>
      </c>
      <c r="BA55" s="201">
        <v>11.577394030000001</v>
      </c>
      <c r="BB55" s="201">
        <f>SUM(BB56:BB57)</f>
        <v>30.299781970000002</v>
      </c>
      <c r="BC55" s="201">
        <f t="shared" ref="BC55:BV55" si="95">SUM(BC56:BC57)</f>
        <v>2.8316902600000002</v>
      </c>
      <c r="BD55" s="201">
        <f t="shared" si="95"/>
        <v>6.7559313100000002</v>
      </c>
      <c r="BE55" s="201">
        <f t="shared" si="95"/>
        <v>4.0371118700000004</v>
      </c>
      <c r="BF55" s="201">
        <f t="shared" si="95"/>
        <v>1.2443186800000001</v>
      </c>
      <c r="BG55" s="201">
        <f t="shared" si="95"/>
        <v>12.697765130000001</v>
      </c>
      <c r="BH55" s="201">
        <f t="shared" si="95"/>
        <v>32.070874849179077</v>
      </c>
      <c r="BI55" s="201">
        <f t="shared" si="95"/>
        <v>6.8321094022410493</v>
      </c>
      <c r="BJ55" s="201">
        <f t="shared" si="95"/>
        <v>14.35351986048121</v>
      </c>
      <c r="BK55" s="201">
        <f t="shared" si="95"/>
        <v>12.337845632458871</v>
      </c>
      <c r="BL55" s="201">
        <f t="shared" si="95"/>
        <v>12.17552174837912</v>
      </c>
      <c r="BM55" s="201">
        <f t="shared" si="95"/>
        <v>10.222165760985643</v>
      </c>
      <c r="BN55" s="201">
        <f t="shared" si="95"/>
        <v>34.712328810000002</v>
      </c>
      <c r="BO55" s="201">
        <f t="shared" si="95"/>
        <v>14.083821570000001</v>
      </c>
      <c r="BP55" s="201">
        <f t="shared" si="95"/>
        <v>20.89272588</v>
      </c>
      <c r="BQ55" s="201">
        <f t="shared" si="95"/>
        <v>21.612339181872436</v>
      </c>
      <c r="BR55" s="201">
        <f t="shared" si="95"/>
        <v>14.569944130705235</v>
      </c>
      <c r="BS55" s="201">
        <f t="shared" si="95"/>
        <v>10.637077036036343</v>
      </c>
      <c r="BT55" s="201">
        <f t="shared" si="95"/>
        <v>33.846434734049403</v>
      </c>
      <c r="BU55" s="201">
        <f t="shared" si="95"/>
        <v>36.25555871807822</v>
      </c>
      <c r="BV55" s="201">
        <f t="shared" si="95"/>
        <v>25.785182142665107</v>
      </c>
      <c r="BW55" s="201">
        <f t="shared" ref="BW55:CB55" si="96">SUM(BW56:BW57)</f>
        <v>35.163676479589192</v>
      </c>
      <c r="BX55" s="201">
        <f t="shared" si="96"/>
        <v>15.237666068007181</v>
      </c>
      <c r="BY55" s="201">
        <f t="shared" si="96"/>
        <v>11.120751628006957</v>
      </c>
      <c r="BZ55" s="201">
        <f t="shared" si="96"/>
        <v>33.540990050000005</v>
      </c>
      <c r="CA55" s="201">
        <f t="shared" si="96"/>
        <v>35.694817449964887</v>
      </c>
      <c r="CB55" s="201">
        <f t="shared" si="96"/>
        <v>25.635282311849885</v>
      </c>
      <c r="CC55" s="201">
        <f>SUM(CC56:CC57)</f>
        <v>36.035895269999997</v>
      </c>
      <c r="CD55" s="201">
        <f>SUM(CD56:CD57)</f>
        <v>15.196002969999999</v>
      </c>
      <c r="CE55" s="201">
        <f>SUM(CE56:CE57)</f>
        <v>11.19169655</v>
      </c>
      <c r="CF55" s="201">
        <f t="shared" ref="CF55:CJ55" si="97">SUM(CF56:CF57)</f>
        <v>33.265453200000003</v>
      </c>
      <c r="CG55" s="201">
        <f t="shared" si="97"/>
        <v>35.075098400000002</v>
      </c>
      <c r="CH55" s="201">
        <f t="shared" si="97"/>
        <v>27.710109490000001</v>
      </c>
      <c r="CI55" s="201">
        <f t="shared" si="97"/>
        <v>36.815821700000001</v>
      </c>
      <c r="CJ55" s="201">
        <f t="shared" si="97"/>
        <v>18.011440100000002</v>
      </c>
      <c r="CK55" s="201">
        <f>SUM(CK56:CK57)</f>
        <v>12.991782300000001</v>
      </c>
      <c r="CM55" s="250"/>
    </row>
    <row r="56" spans="1:116" s="46" customFormat="1">
      <c r="A56" s="126" t="s">
        <v>131</v>
      </c>
      <c r="B56" s="169" t="s">
        <v>81</v>
      </c>
      <c r="C56" s="45" t="s">
        <v>131</v>
      </c>
      <c r="D56" s="83">
        <v>0</v>
      </c>
      <c r="E56" s="83">
        <v>6.6</v>
      </c>
      <c r="F56" s="83">
        <v>20.100000000000001</v>
      </c>
      <c r="G56" s="83">
        <v>0</v>
      </c>
      <c r="H56" s="83">
        <v>0</v>
      </c>
      <c r="I56" s="83">
        <v>0.2</v>
      </c>
      <c r="J56" s="83">
        <v>0</v>
      </c>
      <c r="K56" s="83">
        <v>7.1806496633686496</v>
      </c>
      <c r="L56" s="84">
        <v>19.640762107127241</v>
      </c>
      <c r="M56" s="108">
        <v>0</v>
      </c>
      <c r="N56" s="84">
        <v>0</v>
      </c>
      <c r="O56" s="108">
        <v>0.21236102956817698</v>
      </c>
      <c r="P56" s="84">
        <v>0</v>
      </c>
      <c r="Q56" s="79">
        <v>7.4976969897168804</v>
      </c>
      <c r="R56" s="108">
        <v>20.016306709622501</v>
      </c>
      <c r="S56" s="79">
        <v>0</v>
      </c>
      <c r="T56" s="108">
        <v>0</v>
      </c>
      <c r="U56" s="108">
        <v>0.227134257854821</v>
      </c>
      <c r="V56" s="108">
        <v>0</v>
      </c>
      <c r="W56" s="108">
        <v>8.0897254456412675</v>
      </c>
      <c r="X56" s="108">
        <v>18.166943496361171</v>
      </c>
      <c r="Y56" s="108">
        <v>1.4216716398146105</v>
      </c>
      <c r="Z56" s="108">
        <v>0</v>
      </c>
      <c r="AA56" s="108">
        <v>0.24005147219193024</v>
      </c>
      <c r="AB56" s="108">
        <v>0</v>
      </c>
      <c r="AC56" s="108">
        <v>8.4549367743252901</v>
      </c>
      <c r="AD56" s="86">
        <v>19.2308429751257</v>
      </c>
      <c r="AE56" s="86">
        <v>1.5505902109124254</v>
      </c>
      <c r="AF56" s="86">
        <v>0</v>
      </c>
      <c r="AG56" s="86">
        <v>1.5588954315621117</v>
      </c>
      <c r="AH56" s="86">
        <v>0</v>
      </c>
      <c r="AI56" s="79">
        <v>8.5538019470969502</v>
      </c>
      <c r="AJ56" s="214">
        <v>430.25412849999998</v>
      </c>
      <c r="AK56" s="214">
        <v>0</v>
      </c>
      <c r="AL56" s="173">
        <v>0</v>
      </c>
      <c r="AM56" s="173">
        <v>1.22112780548628</v>
      </c>
      <c r="AN56" s="173">
        <v>0.32372681704260647</v>
      </c>
      <c r="AO56" s="173">
        <v>8.4742026065896798</v>
      </c>
      <c r="AP56" s="184">
        <v>0</v>
      </c>
      <c r="AQ56" s="184">
        <v>1.5442020300000001</v>
      </c>
      <c r="AR56" s="184">
        <v>0.43069353999999999</v>
      </c>
      <c r="AS56" s="184">
        <v>1.2956095300000001</v>
      </c>
      <c r="AT56" s="184">
        <v>3.2123849788609798E-2</v>
      </c>
      <c r="AU56" s="184">
        <v>4.1776829799999993</v>
      </c>
      <c r="AV56" s="184">
        <v>6.0857543224049602</v>
      </c>
      <c r="AW56" s="184">
        <v>1.3171759747102201</v>
      </c>
      <c r="AX56" s="184">
        <f>4038444.85/1000000</f>
        <v>4.0384448500000003</v>
      </c>
      <c r="AY56" s="184">
        <f>1928927.15/1000000</f>
        <v>1.9289271499999998</v>
      </c>
      <c r="AZ56" s="184">
        <v>0.35550788</v>
      </c>
      <c r="BA56" s="184">
        <v>9.6050029900000009</v>
      </c>
      <c r="BB56" s="184">
        <v>25.540474850000003</v>
      </c>
      <c r="BC56" s="202">
        <v>1.3210737699999999</v>
      </c>
      <c r="BD56" s="79">
        <v>4.7781398700000004</v>
      </c>
      <c r="BE56" s="202">
        <v>3.4268075900000001</v>
      </c>
      <c r="BF56" s="202">
        <v>0.48705078000000002</v>
      </c>
      <c r="BG56" s="202">
        <v>10.27937985</v>
      </c>
      <c r="BH56" s="202">
        <v>27.410126780974238</v>
      </c>
      <c r="BI56" s="202">
        <v>1.4712806026365302</v>
      </c>
      <c r="BJ56" s="202">
        <v>8.7889052999999997</v>
      </c>
      <c r="BK56" s="202">
        <v>4.8679226</v>
      </c>
      <c r="BL56" s="202">
        <v>6.4613319936311999</v>
      </c>
      <c r="BM56" s="202">
        <v>5.2944925709007347</v>
      </c>
      <c r="BN56" s="202">
        <v>29.88984129</v>
      </c>
      <c r="BO56" s="202">
        <v>2.0578379</v>
      </c>
      <c r="BP56" s="202">
        <v>11.38476616</v>
      </c>
      <c r="BQ56" s="86">
        <v>7.0046284568778496</v>
      </c>
      <c r="BR56" s="86">
        <v>6.5700231842199779</v>
      </c>
      <c r="BS56" s="86">
        <v>4.6359392540368436</v>
      </c>
      <c r="BT56" s="86">
        <v>29.223440440000001</v>
      </c>
      <c r="BU56" s="86">
        <v>21.46155439</v>
      </c>
      <c r="BV56" s="86">
        <v>12.373480927121772</v>
      </c>
      <c r="BW56" s="86">
        <v>14.068266668893024</v>
      </c>
      <c r="BX56" s="86">
        <v>6.56718416</v>
      </c>
      <c r="BY56" s="86">
        <v>4.8638791590909092</v>
      </c>
      <c r="BZ56" s="86">
        <v>29.264006822390645</v>
      </c>
      <c r="CA56" s="86">
        <v>21.275904492365402</v>
      </c>
      <c r="CB56" s="86">
        <v>12.392813753050424</v>
      </c>
      <c r="CC56" s="86">
        <v>14.532483543298129</v>
      </c>
      <c r="CD56" s="86">
        <v>6.6087110608954367</v>
      </c>
      <c r="CE56" s="86">
        <v>5.1197860799999999</v>
      </c>
      <c r="CF56" s="86">
        <v>29.302911900000002</v>
      </c>
      <c r="CG56" s="86">
        <v>21.271364899999998</v>
      </c>
      <c r="CH56" s="86">
        <v>13.828856050000001</v>
      </c>
      <c r="CI56" s="86">
        <v>15.443453399999999</v>
      </c>
      <c r="CJ56" s="86">
        <v>6.9098873000000003</v>
      </c>
      <c r="CK56" s="86">
        <v>5.5270327000000004</v>
      </c>
    </row>
    <row r="57" spans="1:116" s="46" customFormat="1">
      <c r="A57" s="126" t="s">
        <v>132</v>
      </c>
      <c r="B57" s="169" t="s">
        <v>82</v>
      </c>
      <c r="C57" s="45" t="s">
        <v>132</v>
      </c>
      <c r="D57" s="83">
        <v>0</v>
      </c>
      <c r="E57" s="83">
        <v>1.7</v>
      </c>
      <c r="F57" s="83">
        <v>19.2</v>
      </c>
      <c r="G57" s="83">
        <v>0</v>
      </c>
      <c r="H57" s="83">
        <v>2.5</v>
      </c>
      <c r="I57" s="83">
        <v>0.6</v>
      </c>
      <c r="J57" s="83">
        <v>0.2</v>
      </c>
      <c r="K57" s="83">
        <v>2.2122474926440128</v>
      </c>
      <c r="L57" s="84">
        <v>19.774749622449619</v>
      </c>
      <c r="M57" s="108">
        <v>0.27659439878892733</v>
      </c>
      <c r="N57" s="84">
        <v>3.3962562294073235</v>
      </c>
      <c r="O57" s="108">
        <v>0.99521206467306889</v>
      </c>
      <c r="P57" s="84">
        <v>0.15397644602807295</v>
      </c>
      <c r="Q57" s="79">
        <v>2.4475787793263617</v>
      </c>
      <c r="R57" s="83">
        <v>5.482304199962428</v>
      </c>
      <c r="S57" s="79">
        <v>14.582356733449419</v>
      </c>
      <c r="T57" s="108">
        <v>4.3527273179165755</v>
      </c>
      <c r="U57" s="108">
        <v>0.57214297477782294</v>
      </c>
      <c r="V57" s="108">
        <v>0.17002452911885699</v>
      </c>
      <c r="W57" s="108">
        <v>2.5506585373767012</v>
      </c>
      <c r="X57" s="108">
        <v>19.262104508503974</v>
      </c>
      <c r="Y57" s="108">
        <v>1.130326305718278</v>
      </c>
      <c r="Z57" s="108">
        <v>4.1289141633728601</v>
      </c>
      <c r="AA57" s="108">
        <v>0.46774629574234033</v>
      </c>
      <c r="AB57" s="108">
        <v>0.14328135299219427</v>
      </c>
      <c r="AC57" s="108">
        <v>1.9352467747938</v>
      </c>
      <c r="AD57" s="86">
        <v>4.6543894300450503</v>
      </c>
      <c r="AE57" s="86">
        <v>16.302996176095629</v>
      </c>
      <c r="AF57" s="86">
        <v>3.3275533198289442</v>
      </c>
      <c r="AG57" s="86">
        <v>0.38355540904170288</v>
      </c>
      <c r="AH57" s="86">
        <v>1.491183935135135</v>
      </c>
      <c r="AI57" s="79">
        <v>1.5437620705414401</v>
      </c>
      <c r="AJ57" s="214">
        <v>14.4567826</v>
      </c>
      <c r="AK57" s="214">
        <v>0.275289238621863</v>
      </c>
      <c r="AL57" s="173">
        <v>3.0638502392709981</v>
      </c>
      <c r="AM57" s="173">
        <v>0.41424073791183902</v>
      </c>
      <c r="AN57" s="173">
        <v>0.6323294099715725</v>
      </c>
      <c r="AO57" s="173">
        <v>0.58490277757489695</v>
      </c>
      <c r="AP57" s="184">
        <v>0.22987914999999998</v>
      </c>
      <c r="AQ57" s="184">
        <v>2.3665383600000003</v>
      </c>
      <c r="AR57" s="184">
        <v>2.0334909400000001</v>
      </c>
      <c r="AS57" s="184">
        <v>0.54330441000000007</v>
      </c>
      <c r="AT57" s="184">
        <v>0.57110569536075295</v>
      </c>
      <c r="AU57" s="184">
        <v>1.02649466</v>
      </c>
      <c r="AV57" s="184">
        <v>0.64293406654150198</v>
      </c>
      <c r="AW57" s="184">
        <v>1.652713382507903</v>
      </c>
      <c r="AX57" s="184">
        <v>1.84625806545286</v>
      </c>
      <c r="AY57" s="184">
        <v>0.49536850999999998</v>
      </c>
      <c r="AZ57" s="184">
        <v>0.50498812999999998</v>
      </c>
      <c r="BA57" s="184">
        <v>1.9723910399999998</v>
      </c>
      <c r="BB57" s="184">
        <v>4.7593071199999999</v>
      </c>
      <c r="BC57" s="202">
        <v>1.5106164900000001</v>
      </c>
      <c r="BD57" s="202">
        <v>1.9777914399999998</v>
      </c>
      <c r="BE57" s="202">
        <v>0.61030428000000003</v>
      </c>
      <c r="BF57" s="202">
        <v>0.75726789999999999</v>
      </c>
      <c r="BG57" s="202">
        <v>2.4183852799999999</v>
      </c>
      <c r="BH57" s="202">
        <v>4.6607480682048381</v>
      </c>
      <c r="BI57" s="202">
        <v>5.3608287996045192</v>
      </c>
      <c r="BJ57" s="202">
        <v>5.5646145604812105</v>
      </c>
      <c r="BK57" s="202">
        <v>7.4699230324588708</v>
      </c>
      <c r="BL57" s="202">
        <v>5.7141897547479203</v>
      </c>
      <c r="BM57" s="202">
        <v>4.9276731900849091</v>
      </c>
      <c r="BN57" s="202">
        <v>4.8224875200000001</v>
      </c>
      <c r="BO57" s="202">
        <v>12.02598367</v>
      </c>
      <c r="BP57" s="202">
        <v>9.5079597200000006</v>
      </c>
      <c r="BQ57" s="86">
        <v>14.607710724994586</v>
      </c>
      <c r="BR57" s="86">
        <v>7.9999209464852576</v>
      </c>
      <c r="BS57" s="86">
        <v>6.0011377819994998</v>
      </c>
      <c r="BT57" s="86">
        <v>4.6229942940493993</v>
      </c>
      <c r="BU57" s="86">
        <v>14.79400432807822</v>
      </c>
      <c r="BV57" s="86">
        <v>13.411701215543333</v>
      </c>
      <c r="BW57" s="86">
        <v>21.095409810696168</v>
      </c>
      <c r="BX57" s="86">
        <v>8.6704819080071811</v>
      </c>
      <c r="BY57" s="84">
        <v>6.2568724689160478</v>
      </c>
      <c r="BZ57" s="84">
        <v>4.2769832276093567</v>
      </c>
      <c r="CA57" s="84">
        <v>14.418912957599485</v>
      </c>
      <c r="CB57" s="86">
        <v>13.242468558799459</v>
      </c>
      <c r="CC57" s="86">
        <v>21.50341172670187</v>
      </c>
      <c r="CD57" s="86">
        <v>8.587291909104561</v>
      </c>
      <c r="CE57" s="86">
        <v>6.0719104699999997</v>
      </c>
      <c r="CF57" s="86">
        <v>3.9625412999999998</v>
      </c>
      <c r="CG57" s="86">
        <v>13.8037335</v>
      </c>
      <c r="CH57" s="86">
        <v>13.88125344</v>
      </c>
      <c r="CI57" s="86">
        <v>21.372368300000002</v>
      </c>
      <c r="CJ57" s="86">
        <v>11.1015528</v>
      </c>
      <c r="CK57" s="86">
        <v>7.4647496000000002</v>
      </c>
    </row>
    <row r="58" spans="1:116" s="46" customFormat="1">
      <c r="A58" s="126" t="s">
        <v>133</v>
      </c>
      <c r="B58" s="168" t="s">
        <v>209</v>
      </c>
      <c r="C58" s="80" t="s">
        <v>133</v>
      </c>
      <c r="D58" s="111">
        <f t="shared" ref="D58:J58" si="98">SUM(D59:D60)</f>
        <v>31.4</v>
      </c>
      <c r="E58" s="111">
        <f t="shared" si="98"/>
        <v>33.5</v>
      </c>
      <c r="F58" s="111">
        <f t="shared" si="98"/>
        <v>66.599999999999994</v>
      </c>
      <c r="G58" s="111">
        <f t="shared" si="98"/>
        <v>16.200000000000003</v>
      </c>
      <c r="H58" s="111">
        <f t="shared" si="98"/>
        <v>91.9</v>
      </c>
      <c r="I58" s="111">
        <f t="shared" si="98"/>
        <v>57.550000000000004</v>
      </c>
      <c r="J58" s="111">
        <f t="shared" si="98"/>
        <v>80.319999999999993</v>
      </c>
      <c r="K58" s="111">
        <v>42.043629429999996</v>
      </c>
      <c r="L58" s="111">
        <v>51.02521007</v>
      </c>
      <c r="M58" s="111">
        <v>48.45</v>
      </c>
      <c r="N58" s="111">
        <v>70.781390130256142</v>
      </c>
      <c r="O58" s="111">
        <v>56.06</v>
      </c>
      <c r="P58" s="111">
        <v>35.623523833865818</v>
      </c>
      <c r="Q58" s="111">
        <v>121.9980139815014</v>
      </c>
      <c r="R58" s="111">
        <v>86.312480514926676</v>
      </c>
      <c r="S58" s="111">
        <v>51.359695379999998</v>
      </c>
      <c r="T58" s="111">
        <v>45.239510435450953</v>
      </c>
      <c r="U58" s="111">
        <v>5.9443797227610178</v>
      </c>
      <c r="V58" s="111">
        <v>30.837477310000001</v>
      </c>
      <c r="W58" s="77">
        <v>11.882432120000001</v>
      </c>
      <c r="X58" s="77">
        <v>87.100142239999997</v>
      </c>
      <c r="Y58" s="77">
        <v>21.476549220000003</v>
      </c>
      <c r="Z58" s="77">
        <v>1.98025611</v>
      </c>
      <c r="AA58" s="77">
        <v>57.614205560000002</v>
      </c>
      <c r="AB58" s="77">
        <v>31.377087655793151</v>
      </c>
      <c r="AC58" s="76">
        <f t="shared" ref="AC58:AH58" si="99">SUM(AC59:AC60)</f>
        <v>167.99800711</v>
      </c>
      <c r="AD58" s="76">
        <f t="shared" si="99"/>
        <v>97.390181960000007</v>
      </c>
      <c r="AE58" s="76">
        <f t="shared" si="99"/>
        <v>347.716645631848</v>
      </c>
      <c r="AF58" s="76">
        <f t="shared" si="99"/>
        <v>262.40212726999999</v>
      </c>
      <c r="AG58" s="76">
        <f t="shared" si="99"/>
        <v>124.08228218000001</v>
      </c>
      <c r="AH58" s="76">
        <f t="shared" si="99"/>
        <v>54.991891000000003</v>
      </c>
      <c r="AI58" s="76">
        <f t="shared" ref="AI58:AX58" si="100">SUM(AI59:AI60)</f>
        <v>533.04107194807102</v>
      </c>
      <c r="AJ58" s="76">
        <f t="shared" si="100"/>
        <v>25</v>
      </c>
      <c r="AK58" s="76">
        <f t="shared" si="100"/>
        <v>18.092178620000002</v>
      </c>
      <c r="AL58" s="207">
        <f t="shared" si="100"/>
        <v>72.345078040000004</v>
      </c>
      <c r="AM58" s="207">
        <f t="shared" si="100"/>
        <v>58.157163799999999</v>
      </c>
      <c r="AN58" s="207">
        <f t="shared" si="100"/>
        <v>23.608886529999999</v>
      </c>
      <c r="AO58" s="207">
        <f t="shared" si="100"/>
        <v>106.86764962459981</v>
      </c>
      <c r="AP58" s="201">
        <f>SUM(AP59:AP60)</f>
        <v>217.13905041999999</v>
      </c>
      <c r="AQ58" s="201">
        <f t="shared" si="100"/>
        <v>26.557879719999999</v>
      </c>
      <c r="AR58" s="201">
        <f t="shared" si="100"/>
        <v>320.11897858999998</v>
      </c>
      <c r="AS58" s="201">
        <f t="shared" si="100"/>
        <v>112.51383976</v>
      </c>
      <c r="AT58" s="201">
        <f t="shared" si="100"/>
        <v>114.05070904</v>
      </c>
      <c r="AU58" s="201">
        <f t="shared" si="100"/>
        <v>79.540656589999998</v>
      </c>
      <c r="AV58" s="201">
        <f t="shared" si="100"/>
        <v>152.26593858000001</v>
      </c>
      <c r="AW58" s="201">
        <f t="shared" si="100"/>
        <v>210.01706178000001</v>
      </c>
      <c r="AX58" s="201">
        <f t="shared" si="100"/>
        <v>84.637399932000008</v>
      </c>
      <c r="AY58" s="201">
        <f>SUM(AY59:AY60)</f>
        <v>75.834816770000003</v>
      </c>
      <c r="AZ58" s="201">
        <v>20.766023099999998</v>
      </c>
      <c r="BA58" s="201">
        <v>77.441118639999999</v>
      </c>
      <c r="BB58" s="201">
        <f>SUM(BB59:BB60)</f>
        <v>232.23789278000001</v>
      </c>
      <c r="BC58" s="201">
        <f t="shared" ref="BC58:BR58" si="101">SUM(BC59:BC60)</f>
        <v>42.397948880000001</v>
      </c>
      <c r="BD58" s="201">
        <f t="shared" si="101"/>
        <v>56.395532209999999</v>
      </c>
      <c r="BE58" s="201">
        <f t="shared" si="101"/>
        <v>487.89469049000002</v>
      </c>
      <c r="BF58" s="201">
        <f t="shared" si="101"/>
        <v>228.56598743000001</v>
      </c>
      <c r="BG58" s="201">
        <f t="shared" si="101"/>
        <v>70.397651885000002</v>
      </c>
      <c r="BH58" s="201">
        <f t="shared" si="101"/>
        <v>175.05699512000001</v>
      </c>
      <c r="BI58" s="201">
        <f t="shared" si="101"/>
        <v>60.780260810000001</v>
      </c>
      <c r="BJ58" s="201">
        <f t="shared" si="101"/>
        <v>71.722029890000002</v>
      </c>
      <c r="BK58" s="201">
        <f t="shared" si="101"/>
        <v>85.442521499999998</v>
      </c>
      <c r="BL58" s="201">
        <f t="shared" si="101"/>
        <v>54.520848520000001</v>
      </c>
      <c r="BM58" s="201">
        <f t="shared" si="101"/>
        <v>60.676730370000001</v>
      </c>
      <c r="BN58" s="201">
        <f t="shared" si="101"/>
        <v>114.24467310999999</v>
      </c>
      <c r="BO58" s="201">
        <f t="shared" si="101"/>
        <v>48.292849160000003</v>
      </c>
      <c r="BP58" s="201">
        <f t="shared" si="101"/>
        <v>66.8118748551463</v>
      </c>
      <c r="BQ58" s="201">
        <f t="shared" si="101"/>
        <v>69.453349999999972</v>
      </c>
      <c r="BR58" s="201">
        <f t="shared" si="101"/>
        <v>36.677362010000003</v>
      </c>
      <c r="BS58" s="201">
        <f t="shared" ref="BS58:BV58" si="102">SUM(BS59:BS60)</f>
        <v>38.935069380000002</v>
      </c>
      <c r="BT58" s="201">
        <f t="shared" si="102"/>
        <v>116.01939059999999</v>
      </c>
      <c r="BU58" s="201">
        <f t="shared" si="102"/>
        <v>12.39531534</v>
      </c>
      <c r="BV58" s="201">
        <f t="shared" si="102"/>
        <v>135.74042997000001</v>
      </c>
      <c r="BW58" s="201">
        <f t="shared" ref="BW58:CA58" si="103">SUM(BW59:BW60)</f>
        <v>62.417307690000001</v>
      </c>
      <c r="BX58" s="201">
        <f t="shared" si="103"/>
        <v>56.427036820000005</v>
      </c>
      <c r="BY58" s="201">
        <f t="shared" si="103"/>
        <v>22.397612469999999</v>
      </c>
      <c r="BZ58" s="201">
        <f t="shared" si="103"/>
        <v>19.845927270000001</v>
      </c>
      <c r="CA58" s="201">
        <f t="shared" si="103"/>
        <v>121.97343167</v>
      </c>
      <c r="CB58" s="201">
        <f>SUM(CB59:CB60)</f>
        <v>66.498375379999999</v>
      </c>
      <c r="CC58" s="201">
        <f>SUM(CC59:CC60)</f>
        <v>118.25271139</v>
      </c>
      <c r="CD58" s="201">
        <f>SUM(CD59:CD60)</f>
        <v>269.36474900999997</v>
      </c>
      <c r="CE58" s="201">
        <f>SUM(CE59:CE60)</f>
        <v>251.99396773000001</v>
      </c>
      <c r="CF58" s="201">
        <f t="shared" ref="CF58:CH58" si="104">SUM(CF59:CF60)</f>
        <v>113.67444704</v>
      </c>
      <c r="CG58" s="201">
        <f t="shared" si="104"/>
        <v>55.066192850000007</v>
      </c>
      <c r="CH58" s="201">
        <f t="shared" si="104"/>
        <v>36.223431000000005</v>
      </c>
      <c r="CI58" s="201">
        <f>SUM(CI59:CI60)</f>
        <v>10.727450299999999</v>
      </c>
      <c r="CJ58" s="201">
        <f>SUM(CJ59:CJ60)</f>
        <v>23.978497099999998</v>
      </c>
      <c r="CK58" s="201">
        <f>SUM(CK59:CK60)</f>
        <v>18.420712200000001</v>
      </c>
    </row>
    <row r="59" spans="1:116" s="46" customFormat="1">
      <c r="A59" s="126" t="s">
        <v>134</v>
      </c>
      <c r="B59" s="169" t="s">
        <v>85</v>
      </c>
      <c r="C59" s="45" t="s">
        <v>134</v>
      </c>
      <c r="D59" s="83">
        <v>30.4</v>
      </c>
      <c r="E59" s="83">
        <v>30.6</v>
      </c>
      <c r="F59" s="83">
        <v>62.8</v>
      </c>
      <c r="G59" s="83">
        <v>16.100000000000001</v>
      </c>
      <c r="H59" s="83">
        <v>60.8</v>
      </c>
      <c r="I59" s="83">
        <v>56.95</v>
      </c>
      <c r="J59" s="83">
        <v>48.72</v>
      </c>
      <c r="K59" s="83">
        <v>39.72</v>
      </c>
      <c r="L59" s="84">
        <v>50.61</v>
      </c>
      <c r="M59" s="108">
        <v>48.45</v>
      </c>
      <c r="N59" s="83">
        <v>70.430000000000007</v>
      </c>
      <c r="O59" s="108">
        <v>56.06</v>
      </c>
      <c r="P59" s="79">
        <v>35.32</v>
      </c>
      <c r="Q59" s="79">
        <v>121.881</v>
      </c>
      <c r="R59" s="83">
        <v>84.165000000000006</v>
      </c>
      <c r="S59" s="83">
        <v>50.284999999999997</v>
      </c>
      <c r="T59" s="108">
        <v>43.14</v>
      </c>
      <c r="U59" s="108">
        <v>0.214</v>
      </c>
      <c r="V59" s="108">
        <v>30.504000000000001</v>
      </c>
      <c r="W59" s="108">
        <v>0.74399999999999999</v>
      </c>
      <c r="X59" s="108">
        <f>80420000/1000000</f>
        <v>80.42</v>
      </c>
      <c r="Y59" s="108">
        <v>21.289000000000001</v>
      </c>
      <c r="Z59" s="108">
        <v>0.25900000000000001</v>
      </c>
      <c r="AA59" s="108">
        <v>51.606000000000002</v>
      </c>
      <c r="AB59" s="108">
        <v>30.992000000000001</v>
      </c>
      <c r="AC59" s="108">
        <v>25.468</v>
      </c>
      <c r="AD59" s="86">
        <v>95.834000000000003</v>
      </c>
      <c r="AE59" s="86">
        <v>203.155</v>
      </c>
      <c r="AF59" s="86">
        <v>216.59100000000001</v>
      </c>
      <c r="AG59" s="86">
        <v>123.322</v>
      </c>
      <c r="AH59" s="86">
        <v>54.377000000000002</v>
      </c>
      <c r="AI59" s="79">
        <v>2</v>
      </c>
      <c r="AJ59" s="79">
        <v>25</v>
      </c>
      <c r="AK59" s="79">
        <v>16.8</v>
      </c>
      <c r="AL59" s="173">
        <v>72</v>
      </c>
      <c r="AM59" s="173">
        <v>55</v>
      </c>
      <c r="AN59" s="173">
        <v>23.009</v>
      </c>
      <c r="AO59" s="173">
        <v>51</v>
      </c>
      <c r="AP59" s="184">
        <v>29</v>
      </c>
      <c r="AQ59" s="184">
        <v>26</v>
      </c>
      <c r="AR59" s="184">
        <v>40.200000000000003</v>
      </c>
      <c r="AS59" s="184">
        <v>86</v>
      </c>
      <c r="AT59" s="184">
        <v>57.5</v>
      </c>
      <c r="AU59" s="184">
        <v>56.362000000000002</v>
      </c>
      <c r="AV59" s="184">
        <v>147.178</v>
      </c>
      <c r="AW59" s="184">
        <v>204.65100000000001</v>
      </c>
      <c r="AX59" s="184">
        <v>69.629000000000005</v>
      </c>
      <c r="AY59" s="184">
        <v>61.64</v>
      </c>
      <c r="AZ59" s="184">
        <v>14.526</v>
      </c>
      <c r="BA59" s="184">
        <v>69.8</v>
      </c>
      <c r="BB59" s="184">
        <v>46.115000000000002</v>
      </c>
      <c r="BC59" s="202">
        <v>15.855</v>
      </c>
      <c r="BD59" s="202">
        <v>47.036999999999999</v>
      </c>
      <c r="BE59" s="202">
        <v>66.167000000000002</v>
      </c>
      <c r="BF59" s="202">
        <v>0</v>
      </c>
      <c r="BG59" s="202">
        <v>52.293999999999997</v>
      </c>
      <c r="BH59" s="202">
        <v>50.491</v>
      </c>
      <c r="BI59" s="202">
        <v>51.652000000000001</v>
      </c>
      <c r="BJ59" s="86">
        <f>60+0.868</f>
        <v>60.868000000000002</v>
      </c>
      <c r="BK59" s="202">
        <v>60.16</v>
      </c>
      <c r="BL59" s="202">
        <v>51.03</v>
      </c>
      <c r="BM59" s="202">
        <v>51.192999999999998</v>
      </c>
      <c r="BN59" s="202">
        <v>99.028999999999996</v>
      </c>
      <c r="BO59" s="202">
        <v>40.936</v>
      </c>
      <c r="BP59" s="202">
        <v>55.345999999999997</v>
      </c>
      <c r="BQ59" s="202">
        <v>24.001000000000001</v>
      </c>
      <c r="BR59" s="202">
        <v>0</v>
      </c>
      <c r="BS59" s="86">
        <v>32.146000000000001</v>
      </c>
      <c r="BT59" s="86">
        <v>110.652</v>
      </c>
      <c r="BU59" s="86">
        <v>6.7359999999999998</v>
      </c>
      <c r="BV59" s="86">
        <v>130.94200000000001</v>
      </c>
      <c r="BW59" s="86">
        <v>52.680999999999997</v>
      </c>
      <c r="BX59" s="86">
        <v>53.353000000000002</v>
      </c>
      <c r="BY59" s="86">
        <v>20.59</v>
      </c>
      <c r="BZ59" s="86">
        <v>15</v>
      </c>
      <c r="CA59" s="86">
        <v>101</v>
      </c>
      <c r="CB59" s="86">
        <v>64</v>
      </c>
      <c r="CC59" s="86">
        <v>95.5</v>
      </c>
      <c r="CD59" s="86">
        <v>45</v>
      </c>
      <c r="CE59" s="86">
        <v>88.671999999999997</v>
      </c>
      <c r="CF59" s="86">
        <v>109.658</v>
      </c>
      <c r="CG59" s="86">
        <v>42.676000000000002</v>
      </c>
      <c r="CH59" s="86">
        <v>32.691000000000003</v>
      </c>
      <c r="CI59" s="86">
        <v>0.10299999999999999</v>
      </c>
      <c r="CJ59" s="86">
        <v>16</v>
      </c>
      <c r="CK59" s="86">
        <v>18</v>
      </c>
    </row>
    <row r="60" spans="1:116" s="46" customFormat="1">
      <c r="A60" s="126" t="s">
        <v>135</v>
      </c>
      <c r="B60" s="169" t="s">
        <v>86</v>
      </c>
      <c r="C60" s="45" t="s">
        <v>135</v>
      </c>
      <c r="D60" s="83">
        <v>1</v>
      </c>
      <c r="E60" s="83">
        <v>2.9</v>
      </c>
      <c r="F60" s="83">
        <v>3.8</v>
      </c>
      <c r="G60" s="83">
        <v>0.1</v>
      </c>
      <c r="H60" s="83">
        <v>31.1</v>
      </c>
      <c r="I60" s="83">
        <v>0.6</v>
      </c>
      <c r="J60" s="83">
        <v>31.6</v>
      </c>
      <c r="K60" s="83">
        <v>2.32362943</v>
      </c>
      <c r="L60" s="84">
        <v>0.41521006999999999</v>
      </c>
      <c r="M60" s="108">
        <v>0</v>
      </c>
      <c r="N60" s="84">
        <v>0.35139013025613575</v>
      </c>
      <c r="O60" s="108">
        <v>0</v>
      </c>
      <c r="P60" s="84">
        <v>0.30352383386581472</v>
      </c>
      <c r="Q60" s="84">
        <v>0.11701398150139816</v>
      </c>
      <c r="R60" s="84">
        <v>2.1474805149266736</v>
      </c>
      <c r="S60" s="108">
        <v>1.0746953799999999</v>
      </c>
      <c r="T60" s="108">
        <v>2.0995104354509548</v>
      </c>
      <c r="U60" s="108">
        <v>5.7303797227610174</v>
      </c>
      <c r="V60" s="108">
        <v>0.33347730999999997</v>
      </c>
      <c r="W60" s="108">
        <v>11.138432120000001</v>
      </c>
      <c r="X60" s="108">
        <v>6.6801422400000003</v>
      </c>
      <c r="Y60" s="108">
        <v>0.18754921999999999</v>
      </c>
      <c r="Z60" s="108">
        <v>1.7212561100000001</v>
      </c>
      <c r="AA60" s="108">
        <v>6.0082055599999995</v>
      </c>
      <c r="AB60" s="108">
        <v>0.38508765579314863</v>
      </c>
      <c r="AC60" s="108">
        <v>142.53000711000001</v>
      </c>
      <c r="AD60" s="86">
        <v>1.55618196</v>
      </c>
      <c r="AE60" s="86">
        <v>144.56164563184799</v>
      </c>
      <c r="AF60" s="86">
        <v>45.81112727</v>
      </c>
      <c r="AG60" s="86">
        <v>0.76028218000000003</v>
      </c>
      <c r="AH60" s="86">
        <v>0.61489099999999997</v>
      </c>
      <c r="AI60" s="79">
        <v>531.04107194807102</v>
      </c>
      <c r="AJ60" s="79">
        <v>0</v>
      </c>
      <c r="AK60" s="79">
        <v>1.2921786200000001</v>
      </c>
      <c r="AL60" s="173">
        <v>0.34507804000000003</v>
      </c>
      <c r="AM60" s="173">
        <v>3.1571638000000002</v>
      </c>
      <c r="AN60" s="173">
        <v>0.59988653000000003</v>
      </c>
      <c r="AO60" s="173">
        <v>55.867649624599807</v>
      </c>
      <c r="AP60" s="184">
        <v>188.13905041999999</v>
      </c>
      <c r="AQ60" s="184">
        <v>0.55787971999999997</v>
      </c>
      <c r="AR60" s="184">
        <f>SUM('[5]Disbrsmnt &amp; Drwdown'!$G$43:$G$55)/1000000</f>
        <v>279.91897858999999</v>
      </c>
      <c r="AS60" s="184">
        <v>26.513839759999996</v>
      </c>
      <c r="AT60" s="184">
        <v>56.550709040000001</v>
      </c>
      <c r="AU60" s="184">
        <v>23.178656589999999</v>
      </c>
      <c r="AV60" s="184">
        <v>5.0879385800000003</v>
      </c>
      <c r="AW60" s="184">
        <v>5.366061779999999</v>
      </c>
      <c r="AX60" s="184">
        <v>15.008399932</v>
      </c>
      <c r="AY60" s="184">
        <v>14.194816769999999</v>
      </c>
      <c r="AZ60" s="184">
        <v>6.2400230999999993</v>
      </c>
      <c r="BA60" s="184">
        <v>7.6411186400000002</v>
      </c>
      <c r="BB60" s="184">
        <v>186.12289278</v>
      </c>
      <c r="BC60" s="79">
        <v>26.542948879999997</v>
      </c>
      <c r="BD60" s="202">
        <v>9.3585322099999999</v>
      </c>
      <c r="BE60" s="202">
        <v>421.72769048999999</v>
      </c>
      <c r="BF60" s="202">
        <v>228.56598743000001</v>
      </c>
      <c r="BG60" s="202">
        <v>18.103651885000001</v>
      </c>
      <c r="BH60" s="202">
        <v>124.56599512</v>
      </c>
      <c r="BI60" s="202">
        <v>9.1282608100000004</v>
      </c>
      <c r="BJ60" s="202">
        <v>10.854029889999998</v>
      </c>
      <c r="BK60" s="202">
        <v>25.282521500000001</v>
      </c>
      <c r="BL60" s="202">
        <v>3.4908485200000006</v>
      </c>
      <c r="BM60" s="202">
        <v>9.48373037</v>
      </c>
      <c r="BN60" s="202">
        <v>15.215673109999997</v>
      </c>
      <c r="BO60" s="202">
        <v>7.3568491600000003</v>
      </c>
      <c r="BP60" s="202">
        <v>11.465874855146296</v>
      </c>
      <c r="BQ60" s="202">
        <v>45.452349999999974</v>
      </c>
      <c r="BR60" s="202">
        <v>36.677362010000003</v>
      </c>
      <c r="BS60" s="202">
        <v>6.7890693799999999</v>
      </c>
      <c r="BT60" s="202">
        <v>5.3673905999999993</v>
      </c>
      <c r="BU60" s="202">
        <v>5.65931534</v>
      </c>
      <c r="BV60" s="202">
        <v>4.7984299699999999</v>
      </c>
      <c r="BW60" s="202">
        <v>9.7363076900000021</v>
      </c>
      <c r="BX60" s="202">
        <v>3.0740368200000003</v>
      </c>
      <c r="BY60" s="79">
        <v>1.80761247</v>
      </c>
      <c r="BZ60" s="79">
        <v>4.8459272699999998</v>
      </c>
      <c r="CA60" s="79">
        <v>20.97343167</v>
      </c>
      <c r="CB60" s="202">
        <v>2.4983753799999997</v>
      </c>
      <c r="CC60" s="202">
        <v>22.752711389999995</v>
      </c>
      <c r="CD60" s="202">
        <v>224.36474900999997</v>
      </c>
      <c r="CE60" s="202">
        <v>163.32196773000001</v>
      </c>
      <c r="CF60" s="202">
        <v>4.0164470400000001</v>
      </c>
      <c r="CG60" s="202">
        <v>12.390192850000002</v>
      </c>
      <c r="CH60" s="202">
        <v>3.5324309999999999</v>
      </c>
      <c r="CI60" s="202">
        <v>10.624450299999999</v>
      </c>
      <c r="CJ60" s="202">
        <v>7.9784971000000002</v>
      </c>
      <c r="CK60" s="202">
        <v>0.42071219999999998</v>
      </c>
    </row>
    <row r="61" spans="1:116" s="35" customFormat="1" hidden="1">
      <c r="A61" s="32"/>
      <c r="B61" s="159" t="s">
        <v>87</v>
      </c>
      <c r="C61" s="34"/>
      <c r="K61" s="46"/>
      <c r="L61" s="117"/>
      <c r="M61" s="46"/>
      <c r="N61" s="46"/>
      <c r="O61" s="72"/>
      <c r="P61" s="84"/>
      <c r="Q61" s="84"/>
      <c r="R61" s="114"/>
      <c r="S61" s="64"/>
      <c r="T61" s="69"/>
      <c r="U61" s="46"/>
      <c r="V61" s="46"/>
      <c r="W61" s="46"/>
      <c r="X61" s="114"/>
      <c r="Y61" s="46"/>
      <c r="Z61" s="69"/>
      <c r="AA61" s="46"/>
      <c r="AE61" s="133"/>
      <c r="AH61" s="41"/>
      <c r="AI61" s="189"/>
      <c r="AJ61" s="189"/>
      <c r="AK61" s="189"/>
      <c r="AL61" s="189"/>
      <c r="AM61" s="190"/>
      <c r="AN61" s="190"/>
      <c r="AO61" s="190"/>
      <c r="AP61" s="190"/>
      <c r="AQ61" s="190"/>
      <c r="AR61" s="191"/>
      <c r="AS61" s="190"/>
      <c r="AT61" s="190"/>
      <c r="AU61" s="182"/>
      <c r="AV61" s="182"/>
      <c r="AW61" s="182"/>
      <c r="DL61" s="36"/>
    </row>
    <row r="62" spans="1:116" hidden="1">
      <c r="A62" s="1" t="s">
        <v>122</v>
      </c>
      <c r="B62" s="170" t="s">
        <v>88</v>
      </c>
      <c r="C62" s="45" t="s">
        <v>122</v>
      </c>
      <c r="D62" s="57">
        <v>850.21</v>
      </c>
      <c r="E62" s="57">
        <v>859.91</v>
      </c>
      <c r="F62" s="57">
        <v>867.58</v>
      </c>
      <c r="G62" s="57">
        <v>875.28</v>
      </c>
      <c r="H62" s="57">
        <v>910.22</v>
      </c>
      <c r="I62" s="57">
        <v>926.39</v>
      </c>
      <c r="J62" s="57">
        <v>954.5</v>
      </c>
      <c r="K62" s="58">
        <v>961.8</v>
      </c>
      <c r="L62" s="61">
        <v>965.7</v>
      </c>
      <c r="M62" s="56">
        <v>972.74</v>
      </c>
      <c r="N62" s="70">
        <v>955.76</v>
      </c>
      <c r="O62" s="72">
        <v>968.4</v>
      </c>
      <c r="P62" s="84">
        <v>954.19</v>
      </c>
      <c r="Q62" s="84">
        <v>956.12</v>
      </c>
      <c r="R62" s="86">
        <v>961.66499999999996</v>
      </c>
      <c r="S62" s="109">
        <v>967.89</v>
      </c>
      <c r="X62" s="114"/>
      <c r="AH62" s="50"/>
      <c r="AI62" s="192"/>
      <c r="AJ62" s="192"/>
      <c r="AK62" s="192"/>
      <c r="AL62" s="192"/>
      <c r="AU62" s="172"/>
      <c r="AV62" s="172"/>
    </row>
    <row r="63" spans="1:116" hidden="1">
      <c r="A63" s="1" t="s">
        <v>123</v>
      </c>
      <c r="B63" s="170" t="s">
        <v>89</v>
      </c>
      <c r="C63" s="45" t="s">
        <v>123</v>
      </c>
      <c r="D63" s="57">
        <v>534.86</v>
      </c>
      <c r="E63" s="57">
        <v>543.19000000000005</v>
      </c>
      <c r="F63" s="57">
        <v>515.80999999999995</v>
      </c>
      <c r="G63" s="57">
        <v>517.48</v>
      </c>
      <c r="H63" s="57">
        <v>512.69000000000005</v>
      </c>
      <c r="I63" s="57">
        <v>506.79</v>
      </c>
      <c r="J63" s="57">
        <v>489.29</v>
      </c>
      <c r="K63" s="58">
        <v>492.8</v>
      </c>
      <c r="L63" s="61">
        <v>473.6</v>
      </c>
      <c r="M63" s="56">
        <v>471.84</v>
      </c>
      <c r="N63" s="70">
        <v>465.11</v>
      </c>
      <c r="O63" s="72">
        <v>475.77</v>
      </c>
      <c r="P63" s="84">
        <v>479.95</v>
      </c>
      <c r="Q63" s="84">
        <v>486.17</v>
      </c>
      <c r="R63" s="86">
        <v>465.89400000000001</v>
      </c>
      <c r="S63" s="109">
        <v>468.67899999999997</v>
      </c>
      <c r="X63" s="114"/>
      <c r="AH63" s="50"/>
      <c r="AI63" s="192"/>
      <c r="AJ63" s="192"/>
      <c r="AK63" s="192"/>
      <c r="AL63" s="192"/>
      <c r="AU63" s="172"/>
      <c r="AV63" s="172"/>
    </row>
    <row r="64" spans="1:116" hidden="1">
      <c r="A64" s="1" t="s">
        <v>124</v>
      </c>
      <c r="B64" s="170" t="s">
        <v>90</v>
      </c>
      <c r="C64" s="45" t="s">
        <v>124</v>
      </c>
      <c r="D64" s="57">
        <v>2.2400000000000002</v>
      </c>
      <c r="E64" s="57">
        <v>2.2400000000000002</v>
      </c>
      <c r="F64" s="57">
        <v>2.27</v>
      </c>
      <c r="G64" s="57">
        <v>2.25</v>
      </c>
      <c r="H64" s="57">
        <v>2.1800000000000002</v>
      </c>
      <c r="I64" s="57">
        <v>2.19</v>
      </c>
      <c r="J64" s="57">
        <v>2.21</v>
      </c>
      <c r="K64" s="58">
        <v>2.2000000000000002</v>
      </c>
      <c r="L64" s="61">
        <v>2.2000000000000002</v>
      </c>
      <c r="M64" s="56">
        <v>2.2000000000000002</v>
      </c>
      <c r="N64" s="70">
        <v>2.2599999999999998</v>
      </c>
      <c r="O64" s="72">
        <v>2.31</v>
      </c>
      <c r="P64" s="84">
        <v>2.2799999999999998</v>
      </c>
      <c r="Q64" s="84">
        <v>2.27</v>
      </c>
      <c r="R64" s="86">
        <v>2.2559999999999998</v>
      </c>
      <c r="S64" s="109">
        <v>2.2589999999999999</v>
      </c>
      <c r="X64" s="114"/>
      <c r="AH64" s="50"/>
      <c r="AI64" s="192"/>
      <c r="AJ64" s="192"/>
      <c r="AK64" s="192"/>
      <c r="AL64" s="192"/>
      <c r="AU64" s="172"/>
      <c r="AV64" s="172"/>
    </row>
    <row r="65" spans="1:88" hidden="1">
      <c r="A65" s="1" t="s">
        <v>125</v>
      </c>
      <c r="B65" s="170" t="s">
        <v>91</v>
      </c>
      <c r="C65" s="45" t="s">
        <v>125</v>
      </c>
      <c r="D65" s="57">
        <v>12.31</v>
      </c>
      <c r="E65" s="57">
        <v>11.51</v>
      </c>
      <c r="F65" s="57">
        <v>11.63</v>
      </c>
      <c r="G65" s="57">
        <v>11.49</v>
      </c>
      <c r="H65" s="57">
        <v>11.56</v>
      </c>
      <c r="I65" s="57">
        <v>11.61</v>
      </c>
      <c r="J65" s="57">
        <v>11.48</v>
      </c>
      <c r="K65" s="58">
        <v>10.5</v>
      </c>
      <c r="L65" s="61">
        <v>10.3</v>
      </c>
      <c r="M65" s="56">
        <v>10.4</v>
      </c>
      <c r="N65" s="70">
        <v>10.17</v>
      </c>
      <c r="O65" s="72">
        <v>10.6</v>
      </c>
      <c r="P65" s="84">
        <v>10.58</v>
      </c>
      <c r="Q65" s="84">
        <v>9.3000000000000007</v>
      </c>
      <c r="R65" s="86">
        <v>9.3819999999999997</v>
      </c>
      <c r="S65" s="109">
        <v>9.3420000000000005</v>
      </c>
      <c r="X65" s="114"/>
      <c r="AH65" s="50"/>
      <c r="AI65" s="192"/>
      <c r="AJ65" s="192"/>
      <c r="AK65" s="192"/>
      <c r="AL65" s="192"/>
      <c r="AU65" s="172"/>
      <c r="AV65" s="172"/>
    </row>
    <row r="66" spans="1:88" s="25" customFormat="1" hidden="1">
      <c r="A66" s="24" t="s">
        <v>202</v>
      </c>
      <c r="B66" s="158" t="s">
        <v>29</v>
      </c>
      <c r="C66" s="80" t="s">
        <v>202</v>
      </c>
      <c r="D66" s="100">
        <v>1399.61</v>
      </c>
      <c r="E66" s="100">
        <v>1416.85</v>
      </c>
      <c r="F66" s="100">
        <v>1397.28</v>
      </c>
      <c r="G66" s="100">
        <v>1406.51</v>
      </c>
      <c r="H66" s="100">
        <v>1436.64</v>
      </c>
      <c r="I66" s="100">
        <v>1446.98</v>
      </c>
      <c r="J66" s="100">
        <v>1457.48</v>
      </c>
      <c r="K66" s="98">
        <v>1467.3</v>
      </c>
      <c r="L66" s="128">
        <v>1451.8</v>
      </c>
      <c r="M66" s="98">
        <v>1457.18</v>
      </c>
      <c r="N66" s="99">
        <f t="shared" ref="N66:S66" si="105">SUM(N62:N65)</f>
        <v>1433.3</v>
      </c>
      <c r="O66" s="73">
        <f t="shared" si="105"/>
        <v>1457.08</v>
      </c>
      <c r="P66" s="77">
        <f t="shared" si="105"/>
        <v>1447</v>
      </c>
      <c r="Q66" s="77">
        <f t="shared" si="105"/>
        <v>1453.86</v>
      </c>
      <c r="R66" s="77">
        <f t="shared" si="105"/>
        <v>1439.1970000000001</v>
      </c>
      <c r="S66" s="97">
        <f t="shared" si="105"/>
        <v>1448.17</v>
      </c>
      <c r="T66" s="115"/>
      <c r="U66" s="115"/>
      <c r="V66" s="115"/>
      <c r="W66" s="115"/>
      <c r="X66" s="125"/>
      <c r="Y66" s="115"/>
      <c r="Z66" s="124"/>
      <c r="AA66" s="115"/>
      <c r="AE66" s="135"/>
      <c r="AH66" s="101"/>
      <c r="AI66" s="193"/>
      <c r="AJ66" s="193"/>
      <c r="AK66" s="193"/>
      <c r="AL66" s="193"/>
      <c r="AM66" s="194"/>
      <c r="AN66" s="194"/>
      <c r="AO66" s="194"/>
      <c r="AP66" s="194"/>
      <c r="AQ66" s="194"/>
      <c r="AR66" s="195"/>
      <c r="AS66" s="194"/>
      <c r="AT66" s="194"/>
      <c r="AU66" s="183"/>
      <c r="AV66" s="183"/>
      <c r="AW66" s="183"/>
    </row>
    <row r="67" spans="1:88">
      <c r="O67" s="71"/>
      <c r="X67" s="114"/>
      <c r="AU67" s="172"/>
      <c r="AV67" s="172"/>
    </row>
    <row r="68" spans="1:88">
      <c r="D68" s="63"/>
      <c r="E68" s="63"/>
      <c r="F68" s="63"/>
      <c r="G68" s="63"/>
      <c r="H68" s="63"/>
      <c r="I68" s="63"/>
      <c r="J68" s="63"/>
      <c r="O68" s="58"/>
      <c r="AC68" s="136"/>
      <c r="AQ68" s="197"/>
      <c r="BR68" s="57"/>
      <c r="BS68" s="243"/>
      <c r="BT68" s="243"/>
      <c r="BU68" s="243"/>
      <c r="BV68" s="243"/>
      <c r="BW68" s="243"/>
      <c r="BX68" s="243"/>
      <c r="BY68" s="243"/>
      <c r="BZ68" s="243"/>
      <c r="CA68" s="243"/>
      <c r="CB68" s="243"/>
      <c r="CC68" s="243"/>
      <c r="CD68" s="243"/>
      <c r="CE68" s="243"/>
      <c r="CF68" s="243"/>
      <c r="CG68" s="243"/>
      <c r="CJ68" s="57"/>
    </row>
    <row r="69" spans="1:88">
      <c r="D69" s="63"/>
      <c r="E69" s="63"/>
      <c r="F69" s="63"/>
      <c r="G69" s="63"/>
      <c r="H69" s="63"/>
      <c r="I69" s="63"/>
      <c r="J69" s="63"/>
      <c r="O69" s="69"/>
      <c r="AQ69" s="197"/>
      <c r="BL69" s="57"/>
      <c r="BR69" s="57"/>
      <c r="BS69" s="245"/>
      <c r="BT69" s="245"/>
      <c r="BU69" s="245"/>
      <c r="BV69" s="244"/>
      <c r="BW69" s="244"/>
      <c r="BX69" s="244"/>
      <c r="BY69" s="244"/>
      <c r="BZ69" s="244"/>
      <c r="CA69" s="244"/>
      <c r="CB69" s="244"/>
      <c r="CC69" s="244"/>
      <c r="CD69" s="244"/>
      <c r="CE69" s="244"/>
      <c r="CF69" s="244"/>
      <c r="CG69" s="244"/>
    </row>
    <row r="70" spans="1:88">
      <c r="O70" s="56"/>
      <c r="AQ70" s="197"/>
      <c r="BL70" s="57"/>
      <c r="BS70" s="246"/>
      <c r="BT70" s="245"/>
      <c r="BU70" s="245"/>
      <c r="CG70" s="240"/>
      <c r="CJ70" s="57"/>
    </row>
    <row r="71" spans="1:88">
      <c r="AF71" s="147"/>
      <c r="AG71" s="70"/>
      <c r="AQ71" s="197"/>
      <c r="BL71" s="57"/>
      <c r="BR71" s="57"/>
      <c r="BS71" s="242"/>
      <c r="BT71" s="240"/>
      <c r="BU71" s="240"/>
      <c r="BV71" s="240"/>
      <c r="BW71" s="240"/>
      <c r="BX71" s="240"/>
      <c r="BY71" s="240"/>
      <c r="BZ71" s="240"/>
      <c r="CA71" s="240"/>
      <c r="CB71" s="240"/>
      <c r="CC71" s="240"/>
      <c r="CD71" s="240"/>
      <c r="CE71" s="240"/>
      <c r="CF71" s="240"/>
      <c r="CG71" s="240"/>
    </row>
    <row r="72" spans="1:88">
      <c r="O72" s="56"/>
      <c r="AF72" s="147"/>
      <c r="AG72" s="70"/>
      <c r="BI72" s="42"/>
      <c r="BJ72" s="42"/>
      <c r="BK72" s="232"/>
      <c r="BL72" s="241"/>
      <c r="BM72" s="42"/>
      <c r="BR72" s="57"/>
      <c r="BS72" s="147"/>
    </row>
    <row r="73" spans="1:88">
      <c r="AG73" s="60"/>
      <c r="BI73" s="42"/>
      <c r="BJ73" s="42"/>
      <c r="BK73" s="233"/>
      <c r="BL73" s="234"/>
      <c r="BM73" s="42"/>
      <c r="BQ73" s="57"/>
      <c r="BS73" s="245"/>
      <c r="BT73" s="245"/>
      <c r="BU73" s="245"/>
    </row>
    <row r="74" spans="1:88">
      <c r="AG74" s="75"/>
      <c r="BI74" s="42"/>
      <c r="BJ74" s="42"/>
      <c r="BK74" s="233"/>
      <c r="BL74" s="42"/>
      <c r="BM74" s="42"/>
      <c r="BR74" s="100"/>
      <c r="BS74" s="245"/>
      <c r="BT74" s="245"/>
      <c r="BU74" s="245"/>
    </row>
    <row r="75" spans="1:88">
      <c r="BI75" s="42"/>
      <c r="BJ75" s="42"/>
      <c r="BK75" s="42"/>
      <c r="BL75" s="42"/>
      <c r="BM75" s="42"/>
    </row>
    <row r="76" spans="1:88">
      <c r="BI76" s="42"/>
      <c r="BJ76" s="42"/>
      <c r="BK76" s="233"/>
      <c r="BL76" s="42"/>
      <c r="BM76" s="42"/>
    </row>
    <row r="77" spans="1:88">
      <c r="BI77" s="42"/>
      <c r="BJ77" s="42"/>
      <c r="BK77" s="233"/>
      <c r="BL77" s="233"/>
      <c r="BM77" s="42"/>
    </row>
    <row r="78" spans="1:88">
      <c r="BI78" s="42"/>
      <c r="BJ78" s="42"/>
      <c r="BK78" s="235"/>
      <c r="BL78" s="232"/>
      <c r="BM78" s="42"/>
    </row>
    <row r="79" spans="1:88">
      <c r="BI79" s="42"/>
      <c r="BJ79" s="42"/>
      <c r="BK79" s="233"/>
      <c r="BL79" s="232"/>
      <c r="BM79" s="42"/>
    </row>
    <row r="80" spans="1:88">
      <c r="BI80" s="42"/>
      <c r="BJ80" s="42"/>
      <c r="BK80" s="233"/>
      <c r="BL80" s="232"/>
      <c r="BM80" s="42"/>
    </row>
    <row r="81" spans="61:65">
      <c r="BI81" s="42"/>
      <c r="BJ81" s="42"/>
      <c r="BK81" s="235"/>
      <c r="BL81" s="42"/>
      <c r="BM81" s="42"/>
    </row>
    <row r="82" spans="61:65">
      <c r="BI82" s="42"/>
      <c r="BJ82" s="42"/>
      <c r="BK82" s="233"/>
      <c r="BL82" s="42"/>
      <c r="BM82" s="42"/>
    </row>
    <row r="83" spans="61:65">
      <c r="BI83" s="42"/>
      <c r="BJ83" s="42"/>
      <c r="BK83" s="42"/>
      <c r="BL83" s="42"/>
      <c r="BM83" s="42"/>
    </row>
    <row r="84" spans="61:65">
      <c r="BI84" s="42"/>
      <c r="BJ84" s="42"/>
      <c r="BK84" s="232"/>
      <c r="BL84" s="42"/>
      <c r="BM84" s="42"/>
    </row>
    <row r="85" spans="61:65">
      <c r="BI85" s="42"/>
      <c r="BJ85" s="42"/>
      <c r="BK85" s="42"/>
      <c r="BL85" s="42"/>
      <c r="BM85" s="42"/>
    </row>
  </sheetData>
  <conditionalFormatting sqref="A29">
    <cfRule type="duplicateValues" dxfId="11" priority="11"/>
  </conditionalFormatting>
  <conditionalFormatting sqref="A43">
    <cfRule type="duplicateValues" dxfId="10" priority="5"/>
  </conditionalFormatting>
  <conditionalFormatting sqref="C50">
    <cfRule type="duplicateValues" dxfId="9" priority="37"/>
  </conditionalFormatting>
  <conditionalFormatting sqref="C61">
    <cfRule type="duplicateValues" dxfId="8" priority="38"/>
  </conditionalFormatting>
  <conditionalFormatting sqref="C51:C60">
    <cfRule type="duplicateValues" dxfId="7" priority="39"/>
  </conditionalFormatting>
  <conditionalFormatting sqref="C62:C66 C36:C39 C41:C45 C47">
    <cfRule type="duplicateValues" dxfId="6" priority="40"/>
  </conditionalFormatting>
  <conditionalFormatting sqref="C12:C35">
    <cfRule type="duplicateValues" dxfId="5" priority="44"/>
  </conditionalFormatting>
  <conditionalFormatting sqref="A28">
    <cfRule type="duplicateValues" dxfId="4" priority="3"/>
  </conditionalFormatting>
  <conditionalFormatting sqref="C48">
    <cfRule type="duplicateValues" dxfId="3" priority="2"/>
  </conditionalFormatting>
  <conditionalFormatting sqref="C49">
    <cfRule type="duplicateValues" dxfId="2" priority="1"/>
  </conditionalFormatting>
  <dataValidations disablePrompts="1" count="2">
    <dataValidation type="list" allowBlank="1" showInputMessage="1" showErrorMessage="1" sqref="B7">
      <formula1>#REF!</formula1>
    </dataValidation>
    <dataValidation type="list" allowBlank="1" showErrorMessage="1" prompt="_x000a_" sqref="B6">
      <formula1>#REF!</formula1>
    </dataValidation>
  </dataValidations>
  <pageMargins left="0.7" right="0.7" top="0.75" bottom="0.75" header="0.3" footer="0.3"/>
  <pageSetup paperSize="9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FG33"/>
  <sheetViews>
    <sheetView tabSelected="1" workbookViewId="0">
      <pane xSplit="3" topLeftCell="DL1" activePane="topRight" state="frozen"/>
      <selection activeCell="B10" sqref="B10"/>
      <selection pane="topRight" activeCell="DS14" sqref="DS14"/>
    </sheetView>
  </sheetViews>
  <sheetFormatPr defaultRowHeight="15"/>
  <cols>
    <col min="1" max="1" width="22.28515625" customWidth="1"/>
    <col min="2" max="2" width="18" customWidth="1"/>
    <col min="3" max="3" width="19.85546875" bestFit="1" customWidth="1"/>
    <col min="4" max="33" width="8.85546875" hidden="1" customWidth="1"/>
    <col min="34" max="37" width="9.5703125" hidden="1" customWidth="1"/>
    <col min="38" max="46" width="0" hidden="1" customWidth="1"/>
    <col min="47" max="47" width="9.5703125" style="46" hidden="1" customWidth="1"/>
    <col min="48" max="49" width="0" hidden="1" customWidth="1"/>
    <col min="50" max="50" width="8.5703125" hidden="1" customWidth="1"/>
    <col min="51" max="51" width="10.140625" hidden="1" customWidth="1"/>
    <col min="52" max="54" width="0" hidden="1" customWidth="1"/>
    <col min="55" max="56" width="9.5703125" hidden="1" customWidth="1"/>
    <col min="57" max="57" width="12" hidden="1" customWidth="1"/>
    <col min="58" max="58" width="11" hidden="1" customWidth="1"/>
    <col min="59" max="59" width="9.5703125" hidden="1" customWidth="1"/>
    <col min="60" max="60" width="0" hidden="1" customWidth="1"/>
    <col min="61" max="61" width="9.5703125" hidden="1" customWidth="1"/>
    <col min="62" max="62" width="14.28515625" hidden="1" customWidth="1"/>
    <col min="63" max="63" width="12" hidden="1" customWidth="1"/>
    <col min="64" max="65" width="0" hidden="1" customWidth="1"/>
    <col min="66" max="66" width="9.5703125" hidden="1" customWidth="1"/>
    <col min="67" max="68" width="0" hidden="1" customWidth="1"/>
    <col min="69" max="69" width="9.5703125" hidden="1" customWidth="1"/>
    <col min="70" max="81" width="0" hidden="1" customWidth="1"/>
    <col min="82" max="82" width="13.28515625" hidden="1" customWidth="1"/>
    <col min="83" max="87" width="0" hidden="1" customWidth="1"/>
    <col min="89" max="95" width="9.5703125" bestFit="1" customWidth="1"/>
    <col min="96" max="96" width="12" bestFit="1" customWidth="1"/>
    <col min="97" max="97" width="11" bestFit="1" customWidth="1"/>
    <col min="98" max="98" width="9.5703125" bestFit="1" customWidth="1"/>
    <col min="101" max="108" width="9.5703125" bestFit="1" customWidth="1"/>
    <col min="117" max="117" width="9.5703125" bestFit="1" customWidth="1"/>
  </cols>
  <sheetData>
    <row r="1" spans="1:163" s="2" customFormat="1" ht="21.75" customHeight="1">
      <c r="A1" s="6" t="s">
        <v>17</v>
      </c>
      <c r="B1" s="7" t="s">
        <v>18</v>
      </c>
      <c r="C1" s="9" t="s">
        <v>19</v>
      </c>
      <c r="AU1" s="46"/>
    </row>
    <row r="2" spans="1:163" s="2" customFormat="1">
      <c r="A2" s="6" t="s">
        <v>20</v>
      </c>
      <c r="B2" s="10" t="s">
        <v>21</v>
      </c>
      <c r="C2" s="9" t="s">
        <v>22</v>
      </c>
      <c r="AU2" s="46"/>
    </row>
    <row r="3" spans="1:163" s="2" customFormat="1">
      <c r="A3" s="6" t="s">
        <v>0</v>
      </c>
      <c r="B3" s="7" t="s">
        <v>24</v>
      </c>
      <c r="C3" s="9" t="s">
        <v>13</v>
      </c>
      <c r="AU3" s="46"/>
    </row>
    <row r="4" spans="1:163" s="2" customFormat="1">
      <c r="A4" s="6" t="s">
        <v>1</v>
      </c>
      <c r="B4" s="120" t="s">
        <v>25</v>
      </c>
      <c r="C4" s="9" t="s">
        <v>10</v>
      </c>
      <c r="AU4" s="46"/>
    </row>
    <row r="5" spans="1:163" s="2" customFormat="1" ht="15.75" thickBot="1">
      <c r="A5" s="6" t="s">
        <v>2</v>
      </c>
      <c r="B5" s="121" t="s">
        <v>14</v>
      </c>
      <c r="C5" s="9" t="s">
        <v>11</v>
      </c>
      <c r="AU5" s="46"/>
    </row>
    <row r="6" spans="1:163" s="2" customFormat="1">
      <c r="A6" s="4" t="s">
        <v>4</v>
      </c>
      <c r="B6" s="122">
        <v>6</v>
      </c>
      <c r="C6" s="5" t="str">
        <f>"Scale = "&amp;IF(B6=0,"Unit",(IF(B6=3,"Thousand",(IF(B6=6,"Million",(IF(B6=9,"Billion")))))))</f>
        <v>Scale = Million</v>
      </c>
      <c r="AU6" s="46"/>
    </row>
    <row r="7" spans="1:163" s="2" customFormat="1">
      <c r="A7" s="6" t="s">
        <v>3</v>
      </c>
      <c r="B7" s="121" t="s">
        <v>8</v>
      </c>
      <c r="C7" s="8" t="str">
        <f>"Frequency = "&amp;IF(B7="A","Annual",IF(B7="Q", "Quarterly", "Monthly"))</f>
        <v>Frequency = Monthly</v>
      </c>
      <c r="AU7" s="46"/>
    </row>
    <row r="8" spans="1:163" s="2" customFormat="1" ht="15.75" thickBot="1">
      <c r="A8" s="11" t="s">
        <v>9</v>
      </c>
      <c r="B8" s="123" t="s">
        <v>16</v>
      </c>
      <c r="C8" s="12" t="s">
        <v>12</v>
      </c>
      <c r="AU8" s="46"/>
    </row>
    <row r="9" spans="1:163" s="2" customFormat="1" ht="15.75" thickBot="1">
      <c r="A9" s="3"/>
      <c r="AU9" s="46"/>
    </row>
    <row r="10" spans="1:163" s="252" customFormat="1">
      <c r="A10" s="199" t="s">
        <v>7</v>
      </c>
      <c r="B10" s="200" t="s">
        <v>6</v>
      </c>
      <c r="C10" s="200" t="s">
        <v>5</v>
      </c>
      <c r="D10" s="68">
        <v>1992</v>
      </c>
      <c r="E10" s="68">
        <v>1993</v>
      </c>
      <c r="F10" s="68">
        <v>1994</v>
      </c>
      <c r="G10" s="68">
        <v>1995</v>
      </c>
      <c r="H10" s="68">
        <v>1996</v>
      </c>
      <c r="I10" s="68">
        <v>1997</v>
      </c>
      <c r="J10" s="68">
        <v>1998</v>
      </c>
      <c r="K10" s="68">
        <v>1999</v>
      </c>
      <c r="L10" s="68">
        <v>2000</v>
      </c>
      <c r="M10" s="68">
        <v>2001</v>
      </c>
      <c r="N10" s="68">
        <v>2002</v>
      </c>
      <c r="O10" s="68">
        <v>2003</v>
      </c>
      <c r="P10" s="68">
        <v>2004</v>
      </c>
      <c r="Q10" s="68">
        <v>2005</v>
      </c>
      <c r="R10" s="68">
        <v>2006</v>
      </c>
      <c r="S10" s="68">
        <v>2007</v>
      </c>
      <c r="T10" s="68">
        <v>2008</v>
      </c>
      <c r="U10" s="68">
        <v>2009</v>
      </c>
      <c r="V10" s="68">
        <v>2010</v>
      </c>
      <c r="W10" s="68">
        <v>2011</v>
      </c>
      <c r="X10" s="68">
        <v>2012</v>
      </c>
      <c r="Y10" s="68">
        <v>2013</v>
      </c>
      <c r="Z10" s="68">
        <v>2014</v>
      </c>
      <c r="AA10" s="68">
        <v>2015</v>
      </c>
      <c r="AB10" s="68">
        <v>2016</v>
      </c>
      <c r="AC10" s="68">
        <v>2017</v>
      </c>
      <c r="AD10" s="68" t="s">
        <v>203</v>
      </c>
      <c r="AE10" s="68" t="s">
        <v>204</v>
      </c>
      <c r="AF10" s="68" t="s">
        <v>205</v>
      </c>
      <c r="AG10" s="68" t="s">
        <v>206</v>
      </c>
      <c r="AH10" s="68" t="s">
        <v>30</v>
      </c>
      <c r="AI10" s="68" t="s">
        <v>31</v>
      </c>
      <c r="AJ10" s="68" t="s">
        <v>32</v>
      </c>
      <c r="AK10" s="68" t="s">
        <v>33</v>
      </c>
      <c r="AL10" s="68" t="s">
        <v>23</v>
      </c>
      <c r="AM10" s="68" t="s">
        <v>34</v>
      </c>
      <c r="AN10" s="68" t="s">
        <v>35</v>
      </c>
      <c r="AO10" s="68" t="s">
        <v>36</v>
      </c>
      <c r="AP10" s="68" t="s">
        <v>37</v>
      </c>
      <c r="AQ10" s="68" t="s">
        <v>38</v>
      </c>
      <c r="AR10" s="68" t="s">
        <v>39</v>
      </c>
      <c r="AS10" s="68" t="s">
        <v>40</v>
      </c>
      <c r="AT10" s="68" t="s">
        <v>41</v>
      </c>
      <c r="AU10" s="68" t="s">
        <v>42</v>
      </c>
      <c r="AV10" s="68" t="s">
        <v>43</v>
      </c>
      <c r="AW10" s="68" t="s">
        <v>44</v>
      </c>
      <c r="AX10" s="68" t="s">
        <v>211</v>
      </c>
      <c r="AY10" s="68" t="s">
        <v>212</v>
      </c>
      <c r="AZ10" s="68" t="s">
        <v>213</v>
      </c>
      <c r="BA10" s="68" t="s">
        <v>215</v>
      </c>
      <c r="BB10" s="68" t="s">
        <v>216</v>
      </c>
      <c r="BC10" s="68" t="s">
        <v>219</v>
      </c>
      <c r="BD10" s="68" t="s">
        <v>221</v>
      </c>
      <c r="BE10" s="68" t="s">
        <v>222</v>
      </c>
      <c r="BF10" s="68" t="s">
        <v>223</v>
      </c>
      <c r="BG10" s="68" t="s">
        <v>224</v>
      </c>
      <c r="BH10" s="68" t="s">
        <v>226</v>
      </c>
      <c r="BI10" s="68" t="s">
        <v>227</v>
      </c>
      <c r="BJ10" s="68" t="s">
        <v>229</v>
      </c>
      <c r="BK10" s="68" t="s">
        <v>230</v>
      </c>
      <c r="BL10" s="68" t="s">
        <v>231</v>
      </c>
      <c r="BM10" s="68" t="s">
        <v>232</v>
      </c>
      <c r="BN10" s="68" t="s">
        <v>234</v>
      </c>
      <c r="BO10" s="68" t="s">
        <v>235</v>
      </c>
      <c r="BP10" s="68" t="s">
        <v>236</v>
      </c>
      <c r="BQ10" s="68" t="s">
        <v>240</v>
      </c>
      <c r="BR10" s="68" t="s">
        <v>243</v>
      </c>
      <c r="BS10" s="68" t="s">
        <v>245</v>
      </c>
      <c r="BT10" s="68" t="s">
        <v>246</v>
      </c>
      <c r="BU10" s="68" t="s">
        <v>247</v>
      </c>
      <c r="BV10" s="68" t="s">
        <v>248</v>
      </c>
      <c r="BW10" s="68" t="s">
        <v>249</v>
      </c>
      <c r="BX10" s="68" t="s">
        <v>250</v>
      </c>
      <c r="BY10" s="68" t="s">
        <v>251</v>
      </c>
      <c r="BZ10" s="68" t="s">
        <v>252</v>
      </c>
      <c r="CA10" s="68" t="s">
        <v>253</v>
      </c>
      <c r="CB10" s="68" t="s">
        <v>254</v>
      </c>
      <c r="CC10" s="68" t="s">
        <v>255</v>
      </c>
      <c r="CD10" s="68" t="s">
        <v>259</v>
      </c>
      <c r="CE10" s="68" t="s">
        <v>260</v>
      </c>
      <c r="CF10" s="68" t="s">
        <v>262</v>
      </c>
      <c r="CG10" s="68" t="s">
        <v>263</v>
      </c>
      <c r="CH10" s="68" t="s">
        <v>265</v>
      </c>
      <c r="CI10" s="68" t="s">
        <v>266</v>
      </c>
      <c r="CJ10" s="68" t="s">
        <v>267</v>
      </c>
      <c r="CK10" s="68" t="s">
        <v>268</v>
      </c>
      <c r="CL10" s="68" t="s">
        <v>269</v>
      </c>
      <c r="CM10" s="68" t="s">
        <v>270</v>
      </c>
      <c r="CN10" s="68" t="s">
        <v>271</v>
      </c>
      <c r="CO10" s="68" t="s">
        <v>272</v>
      </c>
      <c r="CP10" s="68" t="s">
        <v>273</v>
      </c>
      <c r="CQ10" s="68" t="s">
        <v>274</v>
      </c>
      <c r="CR10" s="68" t="s">
        <v>280</v>
      </c>
      <c r="CS10" s="68" t="s">
        <v>281</v>
      </c>
      <c r="CT10" s="210" t="s">
        <v>283</v>
      </c>
      <c r="CU10" s="210" t="s">
        <v>285</v>
      </c>
      <c r="CV10" s="210" t="s">
        <v>286</v>
      </c>
      <c r="CW10" s="210" t="s">
        <v>287</v>
      </c>
      <c r="CX10" s="210" t="s">
        <v>289</v>
      </c>
      <c r="CY10" s="210" t="s">
        <v>291</v>
      </c>
      <c r="CZ10" s="210" t="s">
        <v>294</v>
      </c>
      <c r="DA10" s="210" t="s">
        <v>295</v>
      </c>
      <c r="DB10" s="210" t="s">
        <v>296</v>
      </c>
      <c r="DC10" s="210" t="s">
        <v>297</v>
      </c>
      <c r="DD10" s="210" t="s">
        <v>298</v>
      </c>
      <c r="DE10" s="210" t="s">
        <v>300</v>
      </c>
      <c r="DF10" s="210" t="s">
        <v>303</v>
      </c>
      <c r="DG10" s="210" t="s">
        <v>304</v>
      </c>
      <c r="DH10" s="210" t="s">
        <v>305</v>
      </c>
      <c r="DI10" s="210" t="s">
        <v>306</v>
      </c>
      <c r="DJ10" s="210" t="s">
        <v>307</v>
      </c>
      <c r="DK10" s="210" t="s">
        <v>308</v>
      </c>
      <c r="DL10" s="210" t="s">
        <v>309</v>
      </c>
      <c r="DM10" s="210" t="s">
        <v>310</v>
      </c>
      <c r="DN10" s="210" t="s">
        <v>314</v>
      </c>
      <c r="DO10" s="210" t="s">
        <v>315</v>
      </c>
      <c r="DP10" s="210" t="s">
        <v>316</v>
      </c>
      <c r="DQ10" s="210" t="s">
        <v>317</v>
      </c>
      <c r="DR10" s="68" t="s">
        <v>318</v>
      </c>
      <c r="DS10" s="68" t="s">
        <v>319</v>
      </c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251"/>
    </row>
    <row r="11" spans="1:163" s="28" customFormat="1" ht="30">
      <c r="A11" s="26"/>
      <c r="B11" s="27" t="s">
        <v>207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</row>
    <row r="12" spans="1:163" s="30" customFormat="1">
      <c r="A12" s="29"/>
      <c r="B12" s="141" t="s">
        <v>45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</row>
    <row r="13" spans="1:163">
      <c r="A13" s="17" t="s">
        <v>52</v>
      </c>
      <c r="B13" s="142" t="s">
        <v>46</v>
      </c>
      <c r="C13" s="19" t="s">
        <v>52</v>
      </c>
      <c r="D13" s="57">
        <v>205.4</v>
      </c>
      <c r="E13" s="57">
        <v>190.4</v>
      </c>
      <c r="F13" s="57">
        <v>189.6</v>
      </c>
      <c r="G13" s="57">
        <v>194.5</v>
      </c>
      <c r="H13" s="57">
        <v>190.7</v>
      </c>
      <c r="I13" s="57">
        <v>200.2</v>
      </c>
      <c r="J13" s="57">
        <v>245.6</v>
      </c>
      <c r="K13" s="57">
        <v>190.6</v>
      </c>
      <c r="L13" s="57">
        <v>201.6</v>
      </c>
      <c r="M13" s="57">
        <v>199.4</v>
      </c>
      <c r="N13" s="57">
        <v>194.8</v>
      </c>
      <c r="O13" s="57">
        <v>169.9</v>
      </c>
      <c r="P13" s="57">
        <v>165.5</v>
      </c>
      <c r="Q13" s="57">
        <v>164.4</v>
      </c>
      <c r="R13" s="57">
        <v>416.7</v>
      </c>
      <c r="S13" s="57">
        <v>397</v>
      </c>
      <c r="T13" s="57">
        <v>476</v>
      </c>
      <c r="U13" s="57">
        <v>527.5</v>
      </c>
      <c r="V13" s="57">
        <v>548.5</v>
      </c>
      <c r="W13" s="57">
        <v>832.1</v>
      </c>
      <c r="X13" s="57">
        <v>935.5</v>
      </c>
      <c r="Y13" s="57">
        <v>1094.0999999999999</v>
      </c>
      <c r="Z13" s="57">
        <v>1254.3</v>
      </c>
      <c r="AA13" s="57">
        <v>1245.8</v>
      </c>
      <c r="AB13" s="57">
        <v>1352.5</v>
      </c>
      <c r="AC13" s="57">
        <v>1412.1</v>
      </c>
      <c r="AD13" s="57">
        <v>1227.8</v>
      </c>
      <c r="AE13" s="57">
        <v>1264.8</v>
      </c>
      <c r="AF13" s="57">
        <v>1325.8</v>
      </c>
      <c r="AG13" s="57">
        <v>1352.5</v>
      </c>
      <c r="AH13" s="55">
        <v>1304.3</v>
      </c>
      <c r="AI13" s="55">
        <v>1408</v>
      </c>
      <c r="AJ13" s="54">
        <v>1392.3</v>
      </c>
      <c r="AK13" s="54">
        <v>1412.1</v>
      </c>
      <c r="AL13" s="58">
        <v>1399.6</v>
      </c>
      <c r="AM13" s="57">
        <v>1416.9</v>
      </c>
      <c r="AN13" s="57">
        <v>1398.4</v>
      </c>
      <c r="AO13" s="57">
        <v>1406.6</v>
      </c>
      <c r="AP13" s="57">
        <v>1436.6</v>
      </c>
      <c r="AQ13" s="57">
        <v>1446.9</v>
      </c>
      <c r="AR13" s="57">
        <v>1457.5</v>
      </c>
      <c r="AS13" s="57">
        <v>1467.3</v>
      </c>
      <c r="AT13" s="57">
        <v>1451.8367843000001</v>
      </c>
      <c r="AU13" s="58">
        <v>1457.2</v>
      </c>
      <c r="AV13" s="58">
        <v>1433.3</v>
      </c>
      <c r="AW13" s="58">
        <v>1457.0785255000001</v>
      </c>
      <c r="AX13" s="63">
        <v>1447</v>
      </c>
      <c r="AY13" s="61">
        <v>1453.86</v>
      </c>
      <c r="AZ13" s="86">
        <v>1439.19</v>
      </c>
      <c r="BA13" s="107">
        <v>1448.1690000000001</v>
      </c>
      <c r="BB13" s="113">
        <v>1453.3956281000001</v>
      </c>
      <c r="BC13" s="119">
        <v>1442.673</v>
      </c>
      <c r="BD13" s="119">
        <v>1456.7535</v>
      </c>
      <c r="BE13" s="69">
        <v>1466.68869</v>
      </c>
      <c r="BF13">
        <v>1457.2902483</v>
      </c>
      <c r="BG13" s="60">
        <v>1446.01</v>
      </c>
      <c r="BH13" s="107">
        <v>1456.1680000000001</v>
      </c>
      <c r="BI13" s="107">
        <f>Central_Government_Debt_M!AA36</f>
        <v>1434.0529534500001</v>
      </c>
      <c r="BJ13" s="107">
        <f>Central_Government_Debt_M!AB36</f>
        <v>1468.0532091700002</v>
      </c>
      <c r="BK13" s="107">
        <f>Central_Government_Debt_M!AC36</f>
        <v>1617.8376152699998</v>
      </c>
      <c r="BL13" s="113">
        <v>1640.1337942</v>
      </c>
      <c r="BM13" s="107">
        <v>1748.401779</v>
      </c>
      <c r="BN13" s="107">
        <v>1777.2378944500001</v>
      </c>
      <c r="BO13" s="107">
        <v>1749.3229374300001</v>
      </c>
      <c r="BP13" s="107">
        <v>1709.5486475299999</v>
      </c>
      <c r="BQ13" s="75">
        <v>2221.0814448699998</v>
      </c>
      <c r="BR13" s="75">
        <v>1833.3582103700001</v>
      </c>
      <c r="BS13" s="75">
        <v>1847.13619505</v>
      </c>
      <c r="BT13" s="75">
        <v>1802.1573622799999</v>
      </c>
      <c r="BU13" s="75">
        <v>1773.7989614400003</v>
      </c>
      <c r="BV13" s="75">
        <v>1780.2887170199999</v>
      </c>
      <c r="BW13" s="75">
        <v>1803.3540758300001</v>
      </c>
      <c r="BX13" s="171">
        <v>2032.33150097</v>
      </c>
      <c r="BY13" s="171">
        <v>2006.8421815399997</v>
      </c>
      <c r="BZ13" s="171">
        <v>2295.3216851400002</v>
      </c>
      <c r="CA13" s="171">
        <v>2353.6088386400002</v>
      </c>
      <c r="CB13" s="171">
        <v>2422.4785184699999</v>
      </c>
      <c r="CC13" s="171">
        <v>2447.4296653500001</v>
      </c>
      <c r="CD13" s="171">
        <v>2473.10321294</v>
      </c>
      <c r="CE13" s="171">
        <v>2414.7233171499997</v>
      </c>
      <c r="CF13" s="171">
        <v>2503.5806576300001</v>
      </c>
      <c r="CG13" s="171">
        <v>2498.52729568</v>
      </c>
      <c r="CH13" s="171">
        <v>2564.3972470899998</v>
      </c>
      <c r="CI13" s="171">
        <v>2537.2203031899999</v>
      </c>
      <c r="CJ13" s="79">
        <v>2617.9618295099999</v>
      </c>
      <c r="CK13" s="203">
        <v>2698.8244921999999</v>
      </c>
      <c r="CL13" s="203">
        <v>2688.4922361100002</v>
      </c>
      <c r="CM13" s="203">
        <v>3157.3703323600002</v>
      </c>
      <c r="CN13" s="203">
        <v>3364.5835308299997</v>
      </c>
      <c r="CO13" s="203">
        <v>3394.3380888200004</v>
      </c>
      <c r="CP13" s="203">
        <v>3581.6153747400003</v>
      </c>
      <c r="CQ13" s="203">
        <v>3579.0094175899999</v>
      </c>
      <c r="CR13" s="203">
        <v>3500.1553566399998</v>
      </c>
      <c r="CS13" s="203">
        <v>3505.3763301000004</v>
      </c>
      <c r="CT13" s="203">
        <v>3461.5749307899996</v>
      </c>
      <c r="CU13" s="203">
        <v>3531.43209067</v>
      </c>
      <c r="CV13" s="203">
        <v>3516.4239892000001</v>
      </c>
      <c r="CW13" s="107">
        <v>3542.3952585000002</v>
      </c>
      <c r="CX13" s="107">
        <f>Central_Government_Debt_M!BP36</f>
        <v>3557.8581884299997</v>
      </c>
      <c r="CY13" s="107">
        <f>Central_Government_Debt_M!BQ36</f>
        <v>3555.5583653999993</v>
      </c>
      <c r="CZ13" s="107">
        <f>Central_Government_Debt_M!BR36</f>
        <v>3577.0256380299998</v>
      </c>
      <c r="DA13" s="57">
        <f>Central_Government_Debt_M!BS36</f>
        <v>3620.3218452399997</v>
      </c>
      <c r="DB13" s="107">
        <f>Central_Government_Debt_M!BT36</f>
        <v>3604.3504232799996</v>
      </c>
      <c r="DC13" s="107">
        <f>Central_Government_Debt_M!BU36</f>
        <v>3612.5387847399993</v>
      </c>
      <c r="DD13" s="107">
        <f>Central_Government_Debt_M!BV36</f>
        <v>3532.4845150100005</v>
      </c>
      <c r="DE13" s="107">
        <f>Central_Government_Debt_M!BW36</f>
        <v>3480.4267455199997</v>
      </c>
      <c r="DF13" s="107">
        <v>3527.4746205600004</v>
      </c>
      <c r="DG13" s="107">
        <f>Central_Government_Debt_M!BY36</f>
        <v>3539.7644176100002</v>
      </c>
      <c r="DH13" s="107">
        <f>Central_Government_Debt_M!BZ36</f>
        <v>3519.6316939600001</v>
      </c>
      <c r="DI13" s="107">
        <f>Central_Government_Debt_M!CA36</f>
        <v>3510.6252069100001</v>
      </c>
      <c r="DJ13" s="57">
        <f>Central_Government_Debt_M!CB36</f>
        <v>3444.42247662</v>
      </c>
      <c r="DK13" s="107">
        <f>Central_Government_Debt_M!CC36</f>
        <v>3443.2977449999998</v>
      </c>
      <c r="DL13" s="107">
        <f>Central_Government_Debt_M!CD36</f>
        <v>3721.3014537900003</v>
      </c>
      <c r="DM13" s="107">
        <f>Central_Government_Debt_M!CE36</f>
        <v>3812.5046168599997</v>
      </c>
      <c r="DN13" s="107">
        <f>Central_Government_Debt_M!CF36</f>
        <v>3757.21656304</v>
      </c>
      <c r="DO13" s="107">
        <f>Central_Government_Debt_M!CG36</f>
        <v>3836.2762222299998</v>
      </c>
      <c r="DP13" s="107">
        <f>Central_Government_Debt_M!CH36</f>
        <v>3841.2707529600002</v>
      </c>
      <c r="DQ13" s="107">
        <f>Central_Government_Debt_M!CI36</f>
        <v>3906.3026800600001</v>
      </c>
      <c r="DR13" s="107">
        <f>Central_Government_Debt_M!CJ36</f>
        <v>3910.1207563699995</v>
      </c>
      <c r="DS13" s="107">
        <f>Central_Government_Debt_M!CK36</f>
        <v>3919.6161777299999</v>
      </c>
      <c r="FG13" s="18"/>
    </row>
    <row r="14" spans="1:163">
      <c r="A14" s="17" t="s">
        <v>53</v>
      </c>
      <c r="B14" s="142" t="s">
        <v>47</v>
      </c>
      <c r="C14" s="19" t="s">
        <v>53</v>
      </c>
      <c r="D14" s="57">
        <v>121.5</v>
      </c>
      <c r="E14" s="57">
        <v>91.6</v>
      </c>
      <c r="F14" s="57">
        <v>45.4</v>
      </c>
      <c r="G14" s="57">
        <v>34.9</v>
      </c>
      <c r="H14" s="57">
        <v>27.1</v>
      </c>
      <c r="I14" s="57">
        <v>25.4</v>
      </c>
      <c r="J14" s="57">
        <v>31.8</v>
      </c>
      <c r="K14" s="57">
        <v>21.9</v>
      </c>
      <c r="L14" s="57">
        <v>18.600000000000001</v>
      </c>
      <c r="M14" s="57">
        <v>15.1</v>
      </c>
      <c r="N14" s="57">
        <v>11.1</v>
      </c>
      <c r="O14" s="57">
        <v>7.9</v>
      </c>
      <c r="P14" s="57">
        <v>17.600000000000001</v>
      </c>
      <c r="Q14" s="57">
        <v>33.1</v>
      </c>
      <c r="R14" s="57">
        <v>31.7</v>
      </c>
      <c r="S14" s="57">
        <v>26.6</v>
      </c>
      <c r="T14" s="57">
        <v>29.6</v>
      </c>
      <c r="U14" s="57">
        <v>25.5</v>
      </c>
      <c r="V14" s="57">
        <v>96.3</v>
      </c>
      <c r="W14" s="57">
        <v>96.4</v>
      </c>
      <c r="X14" s="57">
        <v>75.2</v>
      </c>
      <c r="Y14" s="57">
        <v>79.900000000000006</v>
      </c>
      <c r="Z14" s="57">
        <v>83.9</v>
      </c>
      <c r="AA14" s="57">
        <v>81.3</v>
      </c>
      <c r="AB14" s="57">
        <v>70</v>
      </c>
      <c r="AC14" s="57">
        <v>69.2</v>
      </c>
      <c r="AD14" s="57">
        <v>79.400000000000006</v>
      </c>
      <c r="AE14" s="57">
        <v>76.7</v>
      </c>
      <c r="AF14" s="57">
        <v>76</v>
      </c>
      <c r="AG14" s="57">
        <v>70</v>
      </c>
      <c r="AH14" s="55">
        <v>68.400000000000006</v>
      </c>
      <c r="AI14" s="55">
        <v>68</v>
      </c>
      <c r="AJ14" s="54">
        <v>68.3</v>
      </c>
      <c r="AK14" s="54">
        <v>69.2</v>
      </c>
      <c r="AL14" s="58">
        <v>67.7</v>
      </c>
      <c r="AM14" s="57">
        <v>68.900000000000006</v>
      </c>
      <c r="AN14" s="57">
        <v>73.099999999999994</v>
      </c>
      <c r="AO14" s="57">
        <v>70.599999999999994</v>
      </c>
      <c r="AP14" s="57">
        <v>71.099999999999994</v>
      </c>
      <c r="AQ14" s="57">
        <v>72.3</v>
      </c>
      <c r="AR14" s="57">
        <v>72</v>
      </c>
      <c r="AS14" s="57">
        <v>73.5</v>
      </c>
      <c r="AT14" s="57">
        <v>73.849999999999994</v>
      </c>
      <c r="AU14" s="58">
        <v>73.5</v>
      </c>
      <c r="AV14" s="58">
        <v>72.5</v>
      </c>
      <c r="AW14" s="58">
        <v>70.347524199999995</v>
      </c>
      <c r="AX14" s="63">
        <v>69.36</v>
      </c>
      <c r="AY14" s="61">
        <v>69.95</v>
      </c>
      <c r="AZ14" s="107">
        <v>70.484999999999999</v>
      </c>
      <c r="BA14" s="107">
        <v>69.959999999999994</v>
      </c>
      <c r="BB14" s="113">
        <v>70.689129800000003</v>
      </c>
      <c r="BC14" s="119">
        <v>69.810250999999994</v>
      </c>
      <c r="BD14" s="119">
        <v>70.505481900000007</v>
      </c>
      <c r="BE14" s="69">
        <v>71.653425900000002</v>
      </c>
      <c r="BF14" s="51">
        <v>71.786815000000004</v>
      </c>
      <c r="BG14" s="60">
        <v>71.246339899999995</v>
      </c>
      <c r="BH14" s="107">
        <v>71.588999999999999</v>
      </c>
      <c r="BI14" s="106">
        <v>70.069850900000006</v>
      </c>
      <c r="BJ14" s="106">
        <v>71.558413000000002</v>
      </c>
      <c r="BK14" s="107">
        <v>72.483326000000005</v>
      </c>
      <c r="BL14" s="113">
        <v>74.533023</v>
      </c>
      <c r="BM14" s="107">
        <v>72.985106299999998</v>
      </c>
      <c r="BN14" s="107">
        <v>72.467251899999994</v>
      </c>
      <c r="BO14" s="107">
        <v>71.204206099999993</v>
      </c>
      <c r="BP14" s="107">
        <v>69.331206199999997</v>
      </c>
      <c r="BQ14" s="144">
        <v>68.747855700000002</v>
      </c>
      <c r="BR14" s="144">
        <v>69.790157100000002</v>
      </c>
      <c r="BS14" s="107">
        <v>69.999422999999993</v>
      </c>
      <c r="BT14" s="107">
        <v>67.933341499999997</v>
      </c>
      <c r="BU14" s="107">
        <v>66.645046100000002</v>
      </c>
      <c r="BV14" s="107">
        <v>66.713065099999994</v>
      </c>
      <c r="BW14" s="107">
        <v>65.879319899999999</v>
      </c>
      <c r="BX14" s="177">
        <v>67.69</v>
      </c>
      <c r="BY14" s="178">
        <v>66.52</v>
      </c>
      <c r="BZ14" s="179">
        <v>66.66</v>
      </c>
      <c r="CA14" s="177">
        <v>67.86</v>
      </c>
      <c r="CB14" s="177">
        <v>68.12</v>
      </c>
      <c r="CC14" s="177">
        <v>68.459999999999994</v>
      </c>
      <c r="CD14" s="177">
        <v>69.243073280000004</v>
      </c>
      <c r="CE14" s="177">
        <v>67.456616280000006</v>
      </c>
      <c r="CF14" s="177">
        <v>69.63</v>
      </c>
      <c r="CG14" s="177">
        <v>69.209999999999994</v>
      </c>
      <c r="CH14" s="177">
        <v>70.7718165</v>
      </c>
      <c r="CI14" s="177">
        <v>69.954474700000006</v>
      </c>
      <c r="CJ14" s="84">
        <v>68.359612189999993</v>
      </c>
      <c r="CK14" s="203">
        <v>71.099999999999994</v>
      </c>
      <c r="CL14" s="203">
        <v>70.48</v>
      </c>
      <c r="CM14" s="203">
        <v>72.58</v>
      </c>
      <c r="CN14" s="203">
        <v>72.08</v>
      </c>
      <c r="CO14" s="203">
        <v>73.069999999999993</v>
      </c>
      <c r="CP14" s="203">
        <v>75.58</v>
      </c>
      <c r="CQ14" s="203">
        <v>75.709999999999994</v>
      </c>
      <c r="CR14" s="203">
        <v>73.36190929</v>
      </c>
      <c r="CS14" s="203">
        <v>72.451187300000001</v>
      </c>
      <c r="CT14" s="203">
        <v>71.188696559999997</v>
      </c>
      <c r="CU14" s="203">
        <v>73.148457010000001</v>
      </c>
      <c r="CV14" s="203">
        <v>72.822483489999996</v>
      </c>
      <c r="CW14" s="203">
        <v>73.3948587</v>
      </c>
      <c r="CX14" s="203">
        <f>[6]MAY23!$F$43</f>
        <v>74.24518535</v>
      </c>
      <c r="CY14" s="203">
        <v>73.875973299999998</v>
      </c>
      <c r="CZ14" s="203">
        <v>73.378380309999997</v>
      </c>
      <c r="DA14" s="203">
        <v>74.652194129999998</v>
      </c>
      <c r="DB14" s="203">
        <v>74.994792540000006</v>
      </c>
      <c r="DC14" s="203">
        <v>75.497183159999992</v>
      </c>
      <c r="DD14" s="203">
        <v>73.709360829999994</v>
      </c>
      <c r="DE14" s="203">
        <v>72.35494928</v>
      </c>
      <c r="DF14" s="203">
        <v>73.825910530000002</v>
      </c>
      <c r="DG14" s="203">
        <v>74.329612440000005</v>
      </c>
      <c r="DH14" s="203">
        <v>74.482066069999988</v>
      </c>
      <c r="DI14" s="203">
        <v>74.550024159999992</v>
      </c>
      <c r="DJ14" s="203">
        <v>74.043340709999995</v>
      </c>
      <c r="DK14" s="203">
        <v>74.093698910000001</v>
      </c>
      <c r="DL14" s="203">
        <v>74.771746950000008</v>
      </c>
      <c r="DM14" s="203">
        <v>65.481891180000005</v>
      </c>
      <c r="DN14" s="203">
        <v>64.946932039999993</v>
      </c>
      <c r="DO14" s="203">
        <v>67.003338310000004</v>
      </c>
      <c r="DP14" s="203">
        <v>67.448900530000003</v>
      </c>
      <c r="DQ14" s="203">
        <v>69.064253390000005</v>
      </c>
      <c r="DR14" s="203">
        <v>68.934768030000001</v>
      </c>
      <c r="DS14" s="203">
        <v>63.195636180000001</v>
      </c>
      <c r="FG14" s="18"/>
    </row>
    <row r="15" spans="1:163">
      <c r="A15" s="17" t="s">
        <v>54</v>
      </c>
      <c r="B15" s="142" t="s">
        <v>29</v>
      </c>
      <c r="C15" s="19" t="s">
        <v>54</v>
      </c>
      <c r="D15" s="57">
        <v>326.89999999999998</v>
      </c>
      <c r="E15" s="57">
        <v>281.89999999999998</v>
      </c>
      <c r="F15" s="57">
        <v>235</v>
      </c>
      <c r="G15" s="57">
        <v>229.4</v>
      </c>
      <c r="H15" s="57">
        <v>217.8</v>
      </c>
      <c r="I15" s="57">
        <v>225.6</v>
      </c>
      <c r="J15" s="57">
        <v>277.3</v>
      </c>
      <c r="K15" s="57">
        <v>212.4</v>
      </c>
      <c r="L15" s="57">
        <v>220.2</v>
      </c>
      <c r="M15" s="57">
        <v>214.5</v>
      </c>
      <c r="N15" s="57">
        <v>205.9</v>
      </c>
      <c r="O15" s="57">
        <v>177.8</v>
      </c>
      <c r="P15" s="57">
        <v>183.1</v>
      </c>
      <c r="Q15" s="57">
        <v>197.5</v>
      </c>
      <c r="R15" s="57">
        <v>448.4</v>
      </c>
      <c r="S15" s="57">
        <v>423.6</v>
      </c>
      <c r="T15" s="57">
        <v>505.6</v>
      </c>
      <c r="U15" s="57">
        <v>553</v>
      </c>
      <c r="V15" s="57">
        <v>644.79999999999995</v>
      </c>
      <c r="W15" s="57">
        <v>928.5</v>
      </c>
      <c r="X15" s="57">
        <v>1010.8</v>
      </c>
      <c r="Y15" s="57">
        <v>1174</v>
      </c>
      <c r="Z15" s="57">
        <v>1338.2</v>
      </c>
      <c r="AA15" s="57">
        <v>1327.1</v>
      </c>
      <c r="AB15" s="57">
        <v>1422.4</v>
      </c>
      <c r="AC15" s="57">
        <v>1481.3</v>
      </c>
      <c r="AD15" s="57">
        <v>1307.3</v>
      </c>
      <c r="AE15" s="57">
        <v>1341.5</v>
      </c>
      <c r="AF15" s="57">
        <v>1401.8</v>
      </c>
      <c r="AG15" s="57">
        <v>1422.4</v>
      </c>
      <c r="AH15" s="58">
        <v>1372.7</v>
      </c>
      <c r="AI15" s="58">
        <v>1476</v>
      </c>
      <c r="AJ15" s="56">
        <v>1460.6</v>
      </c>
      <c r="AK15" s="46">
        <v>1481.3</v>
      </c>
      <c r="AL15" s="58">
        <v>1467.3</v>
      </c>
      <c r="AM15" s="57">
        <v>1485.8</v>
      </c>
      <c r="AN15" s="57">
        <v>1471.5</v>
      </c>
      <c r="AO15" s="57">
        <v>1477.2</v>
      </c>
      <c r="AP15" s="57">
        <v>1507.7</v>
      </c>
      <c r="AQ15" s="57">
        <v>1519.2</v>
      </c>
      <c r="AR15" s="57">
        <v>1529.5</v>
      </c>
      <c r="AS15" s="57">
        <v>1540.8</v>
      </c>
      <c r="AT15" s="57">
        <f t="shared" ref="AT15:BB15" si="0">SUM(AT13:AT14)</f>
        <v>1525.6867843</v>
      </c>
      <c r="AU15" s="58">
        <f t="shared" si="0"/>
        <v>1530.7</v>
      </c>
      <c r="AV15" s="57">
        <f t="shared" si="0"/>
        <v>1505.8</v>
      </c>
      <c r="AW15" s="57">
        <f t="shared" si="0"/>
        <v>1527.4260497</v>
      </c>
      <c r="AX15" s="63">
        <f t="shared" si="0"/>
        <v>1516.36</v>
      </c>
      <c r="AY15" s="67">
        <f t="shared" si="0"/>
        <v>1523.81</v>
      </c>
      <c r="AZ15" s="79">
        <f t="shared" si="0"/>
        <v>1509.675</v>
      </c>
      <c r="BA15" s="79">
        <f t="shared" si="0"/>
        <v>1518.1290000000001</v>
      </c>
      <c r="BB15" s="79">
        <f t="shared" si="0"/>
        <v>1524.0847579000001</v>
      </c>
      <c r="BC15" s="118">
        <v>1512.4832510000001</v>
      </c>
      <c r="BD15" s="118">
        <v>1527.2589819</v>
      </c>
      <c r="BE15" s="69">
        <v>1538.3421159</v>
      </c>
      <c r="BF15">
        <v>1529.0770633</v>
      </c>
      <c r="BG15" s="60">
        <v>1517.2563399000001</v>
      </c>
      <c r="BH15" s="107">
        <f>SUM(BH13:BH14)</f>
        <v>1527.7570000000001</v>
      </c>
      <c r="BI15" s="107">
        <f>SUM(BI13:BI14)</f>
        <v>1504.12280435</v>
      </c>
      <c r="BJ15" s="107">
        <f>SUM(BJ13:BJ14)</f>
        <v>1539.6116221700001</v>
      </c>
      <c r="BK15" s="107">
        <v>1690.32094127</v>
      </c>
      <c r="BL15" s="113">
        <v>1714.6668172</v>
      </c>
      <c r="BM15" s="107">
        <f t="shared" ref="BM15:BR15" si="1">SUM(BM13:BM14)</f>
        <v>1821.3868853000001</v>
      </c>
      <c r="BN15" s="107">
        <f t="shared" si="1"/>
        <v>1849.7051463500002</v>
      </c>
      <c r="BO15" s="107">
        <f t="shared" si="1"/>
        <v>1820.5271435300001</v>
      </c>
      <c r="BP15" s="107">
        <f t="shared" si="1"/>
        <v>1778.8798537299999</v>
      </c>
      <c r="BQ15" s="132">
        <f t="shared" si="1"/>
        <v>2289.8293005699998</v>
      </c>
      <c r="BR15" s="132">
        <f t="shared" si="1"/>
        <v>1903.14836747</v>
      </c>
      <c r="BS15" s="132">
        <v>1917.1356180499999</v>
      </c>
      <c r="BT15" s="132">
        <v>1870.09070378</v>
      </c>
      <c r="BU15" s="132">
        <v>1840.4440075400003</v>
      </c>
      <c r="BV15" s="132">
        <v>1847.0017821199999</v>
      </c>
      <c r="BW15" s="132">
        <v>1869.23339573</v>
      </c>
      <c r="BX15" s="180">
        <v>2100.02150097</v>
      </c>
      <c r="BY15" s="180">
        <v>2073.3621815399997</v>
      </c>
      <c r="BZ15" s="180">
        <v>2361.9816851400001</v>
      </c>
      <c r="CA15" s="180">
        <v>2421.4688386400003</v>
      </c>
      <c r="CB15" s="180">
        <v>2490.5985184699998</v>
      </c>
      <c r="CC15" s="180">
        <v>2515.8896653500001</v>
      </c>
      <c r="CD15" s="180">
        <v>2542.3462862199999</v>
      </c>
      <c r="CE15" s="180">
        <v>2482.1799334299999</v>
      </c>
      <c r="CF15" s="180">
        <v>2573.2106576300002</v>
      </c>
      <c r="CG15" s="180">
        <v>2567.73729568</v>
      </c>
      <c r="CH15" s="180">
        <v>2630.5894439799995</v>
      </c>
      <c r="CI15" s="180">
        <v>2607.1747778899999</v>
      </c>
      <c r="CJ15" s="84">
        <f>SUM(CJ13:CJ14)</f>
        <v>2686.3214416999999</v>
      </c>
      <c r="CK15" s="79">
        <f t="shared" ref="CK15:DS15" si="2">SUM(CK13:CK14)</f>
        <v>2769.9244921999998</v>
      </c>
      <c r="CL15" s="79">
        <f t="shared" si="2"/>
        <v>2758.9722361100003</v>
      </c>
      <c r="CM15" s="79">
        <f t="shared" si="2"/>
        <v>3229.9503323600002</v>
      </c>
      <c r="CN15" s="79">
        <f t="shared" si="2"/>
        <v>3436.6635308299997</v>
      </c>
      <c r="CO15" s="79">
        <f t="shared" si="2"/>
        <v>3467.4080888200006</v>
      </c>
      <c r="CP15" s="79">
        <f t="shared" si="2"/>
        <v>3657.1953747400003</v>
      </c>
      <c r="CQ15" s="79">
        <f t="shared" si="2"/>
        <v>3654.7194175899999</v>
      </c>
      <c r="CR15" s="79">
        <f t="shared" si="2"/>
        <v>3573.5172659299997</v>
      </c>
      <c r="CS15" s="79">
        <f t="shared" si="2"/>
        <v>3577.8275174000005</v>
      </c>
      <c r="CT15" s="79">
        <f t="shared" si="2"/>
        <v>3532.7636273499998</v>
      </c>
      <c r="CU15" s="79">
        <f t="shared" si="2"/>
        <v>3604.5805476800001</v>
      </c>
      <c r="CV15" s="79">
        <f t="shared" si="2"/>
        <v>3589.2464726900002</v>
      </c>
      <c r="CW15" s="203">
        <f t="shared" si="2"/>
        <v>3615.7901172000002</v>
      </c>
      <c r="CX15" s="203">
        <f t="shared" si="2"/>
        <v>3632.1033737799999</v>
      </c>
      <c r="CY15" s="203">
        <f t="shared" si="2"/>
        <v>3629.4343386999994</v>
      </c>
      <c r="CZ15" s="203">
        <f t="shared" si="2"/>
        <v>3650.4040183399998</v>
      </c>
      <c r="DA15" s="79">
        <f t="shared" si="2"/>
        <v>3694.9740393699994</v>
      </c>
      <c r="DB15" s="203">
        <f t="shared" si="2"/>
        <v>3679.3452158199998</v>
      </c>
      <c r="DC15" s="203">
        <f t="shared" si="2"/>
        <v>3688.0359678999994</v>
      </c>
      <c r="DD15" s="203">
        <f t="shared" si="2"/>
        <v>3606.1938758400006</v>
      </c>
      <c r="DE15" s="203">
        <f t="shared" si="2"/>
        <v>3552.7816947999995</v>
      </c>
      <c r="DF15" s="203">
        <f t="shared" si="2"/>
        <v>3601.3005310900003</v>
      </c>
      <c r="DG15" s="203">
        <f t="shared" si="2"/>
        <v>3614.0940300500001</v>
      </c>
      <c r="DH15" s="203">
        <f t="shared" si="2"/>
        <v>3594.1137600300003</v>
      </c>
      <c r="DI15" s="203">
        <f t="shared" si="2"/>
        <v>3585.1752310699999</v>
      </c>
      <c r="DJ15" s="203">
        <f t="shared" si="2"/>
        <v>3518.4658173299999</v>
      </c>
      <c r="DK15" s="203">
        <f t="shared" si="2"/>
        <v>3517.3914439099999</v>
      </c>
      <c r="DL15" s="203">
        <f t="shared" si="2"/>
        <v>3796.0732007400002</v>
      </c>
      <c r="DM15" s="203">
        <f t="shared" si="2"/>
        <v>3877.9865080399995</v>
      </c>
      <c r="DN15" s="203">
        <f t="shared" si="2"/>
        <v>3822.1634950799998</v>
      </c>
      <c r="DO15" s="203">
        <f t="shared" si="2"/>
        <v>3903.2795605399997</v>
      </c>
      <c r="DP15" s="203">
        <f t="shared" si="2"/>
        <v>3908.7196534900004</v>
      </c>
      <c r="DQ15" s="203">
        <f t="shared" si="2"/>
        <v>3975.36693345</v>
      </c>
      <c r="DR15" s="203">
        <f t="shared" si="2"/>
        <v>3979.0555243999997</v>
      </c>
      <c r="DS15" s="203">
        <f t="shared" si="2"/>
        <v>3982.8118139099997</v>
      </c>
      <c r="FG15" s="18"/>
    </row>
    <row r="16" spans="1:163">
      <c r="A16" s="17"/>
      <c r="B16" s="143" t="s">
        <v>48</v>
      </c>
      <c r="C16" s="19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8"/>
      <c r="AI16" s="58"/>
      <c r="AJ16" s="46"/>
      <c r="AK16" s="46"/>
      <c r="AL16" s="64"/>
      <c r="AM16" s="51"/>
      <c r="AN16" s="51"/>
      <c r="AO16" s="51"/>
      <c r="AP16" s="51"/>
      <c r="AQ16" s="51"/>
      <c r="AR16" s="51"/>
      <c r="AX16" s="69"/>
      <c r="AY16" s="57"/>
      <c r="AZ16" s="107"/>
      <c r="BA16" s="107"/>
      <c r="BB16" s="113"/>
      <c r="BC16" s="119"/>
      <c r="BD16" s="119"/>
      <c r="BG16" s="60"/>
      <c r="BH16" s="107"/>
      <c r="BI16" s="107"/>
      <c r="BJ16" s="107"/>
      <c r="BK16" s="107"/>
      <c r="BL16" s="113"/>
      <c r="BX16" s="117"/>
      <c r="BY16" s="117"/>
      <c r="BZ16" s="117"/>
      <c r="CA16" s="117"/>
      <c r="CB16" s="117"/>
      <c r="CC16" s="117"/>
      <c r="CD16" s="117"/>
      <c r="CJ16" s="107"/>
      <c r="CK16" s="107"/>
      <c r="CL16" s="107"/>
      <c r="CM16" s="107"/>
      <c r="CN16" s="107"/>
      <c r="CO16" s="107"/>
      <c r="CP16" s="107"/>
      <c r="CQ16" s="107"/>
      <c r="CR16" s="107"/>
      <c r="CS16" s="107"/>
      <c r="CT16" s="107"/>
      <c r="CU16" s="107"/>
      <c r="CV16" s="107"/>
      <c r="CW16" s="247"/>
      <c r="CX16" s="247"/>
      <c r="CY16" s="247"/>
      <c r="CZ16" s="247"/>
      <c r="DA16" s="107"/>
      <c r="DB16" s="247"/>
      <c r="DC16" s="247"/>
      <c r="DD16" s="247"/>
      <c r="DE16" s="247"/>
      <c r="DF16" s="247"/>
      <c r="DG16" s="247"/>
      <c r="DH16" s="247"/>
      <c r="DI16" s="247"/>
      <c r="DJ16" s="107"/>
      <c r="DK16" s="247"/>
      <c r="DL16" s="247"/>
      <c r="DM16" s="247"/>
      <c r="DN16" s="247"/>
      <c r="FG16" s="18"/>
    </row>
    <row r="17" spans="1:163">
      <c r="A17" s="17" t="s">
        <v>55</v>
      </c>
      <c r="B17" s="142" t="s">
        <v>46</v>
      </c>
      <c r="C17" s="19" t="s">
        <v>55</v>
      </c>
      <c r="D17" s="57">
        <v>26</v>
      </c>
      <c r="E17" s="57">
        <v>24.2</v>
      </c>
      <c r="F17" s="57">
        <v>23.5</v>
      </c>
      <c r="G17" s="57">
        <v>26.2</v>
      </c>
      <c r="H17" s="57">
        <v>19.7</v>
      </c>
      <c r="I17" s="57">
        <v>15.8</v>
      </c>
      <c r="J17" s="57">
        <v>25.1</v>
      </c>
      <c r="K17" s="57">
        <v>35.5</v>
      </c>
      <c r="L17" s="57">
        <v>33</v>
      </c>
      <c r="M17" s="57">
        <v>20.3</v>
      </c>
      <c r="N17" s="57">
        <v>21.9</v>
      </c>
      <c r="O17" s="57">
        <v>15.8</v>
      </c>
      <c r="P17" s="57">
        <v>11.2</v>
      </c>
      <c r="Q17" s="57">
        <v>12.8</v>
      </c>
      <c r="R17" s="57">
        <v>14.3</v>
      </c>
      <c r="S17" s="57">
        <v>17.100000000000001</v>
      </c>
      <c r="T17" s="57">
        <v>13.3</v>
      </c>
      <c r="U17" s="57">
        <v>21.2</v>
      </c>
      <c r="V17" s="57">
        <v>17.600000000000001</v>
      </c>
      <c r="W17" s="57">
        <v>285.10000000000002</v>
      </c>
      <c r="X17" s="57">
        <v>19.3</v>
      </c>
      <c r="Y17" s="57">
        <v>10.3</v>
      </c>
      <c r="Z17" s="57">
        <v>25.5</v>
      </c>
      <c r="AA17" s="57">
        <v>558.1</v>
      </c>
      <c r="AB17" s="57">
        <v>63.8</v>
      </c>
      <c r="AC17" s="57">
        <v>42.9</v>
      </c>
      <c r="AD17" s="57">
        <v>36.700000000000003</v>
      </c>
      <c r="AE17" s="57">
        <v>2.8</v>
      </c>
      <c r="AF17" s="57">
        <v>21.5</v>
      </c>
      <c r="AG17" s="57">
        <v>2.9</v>
      </c>
      <c r="AH17" s="58">
        <v>23</v>
      </c>
      <c r="AI17" s="58">
        <v>1.9</v>
      </c>
      <c r="AJ17" s="46">
        <v>17.7</v>
      </c>
      <c r="AK17" s="46">
        <v>0.2</v>
      </c>
      <c r="AL17" s="58">
        <v>0</v>
      </c>
      <c r="AM17" s="57">
        <v>6.62</v>
      </c>
      <c r="AN17" s="57">
        <v>20.079999999999998</v>
      </c>
      <c r="AO17" s="57">
        <v>0</v>
      </c>
      <c r="AP17" s="57">
        <v>0</v>
      </c>
      <c r="AQ17" s="57">
        <v>0.2</v>
      </c>
      <c r="AR17" s="57">
        <v>0</v>
      </c>
      <c r="AS17" s="57">
        <v>7.18</v>
      </c>
      <c r="AT17" s="57">
        <v>19.64</v>
      </c>
      <c r="AU17" s="58">
        <v>0</v>
      </c>
      <c r="AV17" s="51">
        <v>0</v>
      </c>
      <c r="AW17" s="51">
        <v>0.21</v>
      </c>
      <c r="AX17" s="69">
        <v>0</v>
      </c>
      <c r="AY17" s="58">
        <v>7.5</v>
      </c>
      <c r="AZ17" s="86">
        <v>20.02</v>
      </c>
      <c r="BA17" s="107">
        <v>0</v>
      </c>
      <c r="BB17" s="110">
        <v>0</v>
      </c>
      <c r="BC17" s="119">
        <f>227134.26/1000000</f>
        <v>0.22713426</v>
      </c>
      <c r="BD17" s="119">
        <v>0</v>
      </c>
      <c r="BE17" s="60">
        <v>8.0897254456412675</v>
      </c>
      <c r="BF17" s="60">
        <v>18.166943496361171</v>
      </c>
      <c r="BG17" s="60">
        <v>1.4216716398146105</v>
      </c>
      <c r="BH17" s="106">
        <v>0</v>
      </c>
      <c r="BI17" s="106">
        <v>0.24005147219193024</v>
      </c>
      <c r="BJ17" s="106">
        <v>0</v>
      </c>
      <c r="BK17" s="107">
        <v>8.4549367743252901</v>
      </c>
      <c r="BL17" s="113">
        <v>19.230842975125679</v>
      </c>
      <c r="BM17" s="107">
        <v>1.5505902109124254</v>
      </c>
      <c r="BN17" s="107">
        <v>0</v>
      </c>
      <c r="BO17" s="107">
        <f>'[7]Debt Servicing'!$F$74/1000000</f>
        <v>1.5588954315621117</v>
      </c>
      <c r="BP17" s="107">
        <f>'[7]Debt Servicing'!$F$77/1000000</f>
        <v>0</v>
      </c>
      <c r="BQ17" s="75">
        <v>8.5538018999999998</v>
      </c>
      <c r="BR17" s="75">
        <v>430.25412849999998</v>
      </c>
      <c r="BS17" s="75">
        <v>0</v>
      </c>
      <c r="BT17" s="75">
        <v>0</v>
      </c>
      <c r="BU17" s="75">
        <v>1.2211278000000001</v>
      </c>
      <c r="BV17" s="75">
        <v>0.32372681704260647</v>
      </c>
      <c r="BW17" s="75">
        <v>8.4742026065896798</v>
      </c>
      <c r="BX17" s="171">
        <v>0</v>
      </c>
      <c r="BY17" s="171">
        <v>1.5442020300000001</v>
      </c>
      <c r="BZ17" s="171">
        <v>0.43069353999999999</v>
      </c>
      <c r="CA17" s="171">
        <v>1.2956095300000001</v>
      </c>
      <c r="CB17" s="171">
        <v>3.2123849788609798E-2</v>
      </c>
      <c r="CC17" s="171">
        <v>8.6188667500000005</v>
      </c>
      <c r="CD17" s="171">
        <v>0</v>
      </c>
      <c r="CE17" s="171">
        <v>1.3171759747102201</v>
      </c>
      <c r="CF17" s="171">
        <v>4.0384448500000003</v>
      </c>
      <c r="CG17" s="171">
        <v>1.9289271499999998</v>
      </c>
      <c r="CH17" s="171">
        <v>0.35550788</v>
      </c>
      <c r="CI17" s="171">
        <v>9.6050029900000009</v>
      </c>
      <c r="CJ17" s="79">
        <v>25.540474849999999</v>
      </c>
      <c r="CK17" s="203">
        <v>1.3210737699999999</v>
      </c>
      <c r="CL17" s="203">
        <v>4.7781398700000004</v>
      </c>
      <c r="CM17" s="203">
        <v>3.4268075900000001</v>
      </c>
      <c r="CN17" s="203">
        <v>0.48705078000000002</v>
      </c>
      <c r="CO17" s="203">
        <v>10.27937985</v>
      </c>
      <c r="CP17" s="203">
        <v>27.410126779999999</v>
      </c>
      <c r="CQ17" s="203">
        <v>1.4712806026365302</v>
      </c>
      <c r="CR17" s="203">
        <v>8.7889053000000015</v>
      </c>
      <c r="CS17" s="203">
        <v>4.8679225655847054</v>
      </c>
      <c r="CT17" s="203">
        <v>6.4613319936311999</v>
      </c>
      <c r="CU17" s="203">
        <v>5.2944925709007347</v>
      </c>
      <c r="CV17" s="203">
        <v>29.88984129</v>
      </c>
      <c r="CW17" s="203">
        <v>96.521118799999996</v>
      </c>
      <c r="CX17" s="203">
        <f>Central_Government_Debt_M!BP56</f>
        <v>11.38476616</v>
      </c>
      <c r="CY17" s="203">
        <f>Central_Government_Debt_M!BQ56</f>
        <v>7.0046284568778496</v>
      </c>
      <c r="CZ17" s="203">
        <f>Central_Government_Debt_M!BR56</f>
        <v>6.5700231842199779</v>
      </c>
      <c r="DA17" s="203">
        <f>Central_Government_Debt_M!BS56</f>
        <v>4.6359392540368436</v>
      </c>
      <c r="DB17" s="203">
        <f>Central_Government_Debt_M!BT56</f>
        <v>29.223440440000001</v>
      </c>
      <c r="DC17" s="203">
        <f>Central_Government_Debt_M!BU56</f>
        <v>21.46155439</v>
      </c>
      <c r="DD17" s="203">
        <f>Central_Government_Debt_M!BV56</f>
        <v>12.373480927121772</v>
      </c>
      <c r="DE17" s="203">
        <f>Central_Government_Debt_M!BW56</f>
        <v>14.068266668893024</v>
      </c>
      <c r="DF17" s="203">
        <v>6.5671841561938997</v>
      </c>
      <c r="DG17" s="203">
        <f>Central_Government_Debt_M!BY56</f>
        <v>4.8638791590909092</v>
      </c>
      <c r="DH17" s="203">
        <f>Central_Government_Debt_M!BZ56</f>
        <v>29.264006822390645</v>
      </c>
      <c r="DI17" s="203">
        <f>Central_Government_Debt_M!CA56</f>
        <v>21.275904492365402</v>
      </c>
      <c r="DJ17" s="203">
        <f>Central_Government_Debt_M!CB56</f>
        <v>12.392813753050424</v>
      </c>
      <c r="DK17" s="203">
        <f>Central_Government_Debt_M!CC56</f>
        <v>14.532483543298129</v>
      </c>
      <c r="DL17" s="203">
        <f>Central_Government_Debt_M!CD56</f>
        <v>6.6087110608954367</v>
      </c>
      <c r="DM17" s="203">
        <f>Central_Government_Debt_M!CE56</f>
        <v>5.1197860799999999</v>
      </c>
      <c r="DN17" s="203">
        <f>Central_Government_Debt_M!CF56</f>
        <v>29.302911900000002</v>
      </c>
      <c r="DO17" s="203">
        <f>Central_Government_Debt_M!CG56</f>
        <v>21.271364899999998</v>
      </c>
      <c r="DP17" s="203">
        <f>Central_Government_Debt_M!CH56</f>
        <v>13.828856050000001</v>
      </c>
      <c r="DQ17" s="203">
        <f>Central_Government_Debt_M!CI56</f>
        <v>15.443453399999999</v>
      </c>
      <c r="DR17" s="203">
        <f>Central_Government_Debt_M!CJ56</f>
        <v>6.9098873000000003</v>
      </c>
      <c r="DS17" s="203">
        <f>Central_Government_Debt_M!CK56</f>
        <v>5.5270327000000004</v>
      </c>
      <c r="FG17" s="18"/>
    </row>
    <row r="18" spans="1:163">
      <c r="A18" s="17" t="s">
        <v>56</v>
      </c>
      <c r="B18" s="142" t="s">
        <v>50</v>
      </c>
      <c r="C18" s="19" t="s">
        <v>56</v>
      </c>
      <c r="D18" s="57">
        <v>34.700000000000003</v>
      </c>
      <c r="E18" s="57">
        <v>32.799999999999997</v>
      </c>
      <c r="F18" s="57">
        <v>53.8</v>
      </c>
      <c r="G18" s="57">
        <v>17.3</v>
      </c>
      <c r="H18" s="57">
        <v>7.3</v>
      </c>
      <c r="I18" s="57">
        <v>3.5</v>
      </c>
      <c r="J18" s="57">
        <v>4.2</v>
      </c>
      <c r="K18" s="57">
        <v>7.9</v>
      </c>
      <c r="L18" s="57">
        <v>10.199999999999999</v>
      </c>
      <c r="M18" s="57">
        <v>3.8</v>
      </c>
      <c r="N18" s="57">
        <v>1.5</v>
      </c>
      <c r="O18" s="57">
        <v>1.5</v>
      </c>
      <c r="P18" s="57">
        <v>0.1</v>
      </c>
      <c r="Q18" s="57">
        <v>0.1</v>
      </c>
      <c r="R18" s="57">
        <v>0.2</v>
      </c>
      <c r="S18" s="57">
        <v>0.2</v>
      </c>
      <c r="T18" s="57">
        <v>0</v>
      </c>
      <c r="U18" s="57">
        <v>0.2</v>
      </c>
      <c r="V18" s="57">
        <v>0</v>
      </c>
      <c r="W18" s="57">
        <v>0</v>
      </c>
      <c r="X18" s="57">
        <v>0</v>
      </c>
      <c r="Y18" s="57">
        <v>0</v>
      </c>
      <c r="Z18" s="57">
        <v>10.9</v>
      </c>
      <c r="AA18" s="57">
        <v>17.7</v>
      </c>
      <c r="AB18" s="57">
        <v>11.8</v>
      </c>
      <c r="AC18" s="57">
        <v>0</v>
      </c>
      <c r="AD18" s="57">
        <v>0</v>
      </c>
      <c r="AE18" s="57">
        <v>2.9</v>
      </c>
      <c r="AF18" s="57">
        <v>0</v>
      </c>
      <c r="AG18" s="57">
        <v>8.9</v>
      </c>
      <c r="AH18" s="58">
        <v>0</v>
      </c>
      <c r="AI18" s="58">
        <v>0</v>
      </c>
      <c r="AJ18" s="46">
        <v>0</v>
      </c>
      <c r="AK18" s="46">
        <v>0</v>
      </c>
      <c r="AL18" s="58">
        <v>0</v>
      </c>
      <c r="AM18" s="57">
        <v>0</v>
      </c>
      <c r="AN18" s="57">
        <v>0</v>
      </c>
      <c r="AO18" s="57">
        <v>0.84</v>
      </c>
      <c r="AP18" s="57">
        <v>0</v>
      </c>
      <c r="AQ18" s="57">
        <v>0</v>
      </c>
      <c r="AR18" s="57">
        <v>0</v>
      </c>
      <c r="AS18" s="57">
        <v>0</v>
      </c>
      <c r="AT18" s="57">
        <v>0</v>
      </c>
      <c r="AU18" s="58">
        <v>0.89</v>
      </c>
      <c r="AV18" s="58">
        <v>0</v>
      </c>
      <c r="AW18" s="57">
        <v>3.51</v>
      </c>
      <c r="AX18" s="69">
        <v>0</v>
      </c>
      <c r="AY18" s="58">
        <v>0</v>
      </c>
      <c r="AZ18" s="86">
        <v>0</v>
      </c>
      <c r="BA18" s="86">
        <v>0.89</v>
      </c>
      <c r="BB18" s="110">
        <v>0</v>
      </c>
      <c r="BC18" s="119">
        <v>0</v>
      </c>
      <c r="BD18" s="119">
        <v>0</v>
      </c>
      <c r="BE18" s="69">
        <v>0</v>
      </c>
      <c r="BF18">
        <v>0</v>
      </c>
      <c r="BG18" s="60">
        <v>0</v>
      </c>
      <c r="BH18" s="106">
        <v>0</v>
      </c>
      <c r="BI18" s="106">
        <v>0</v>
      </c>
      <c r="BJ18" s="106">
        <v>0</v>
      </c>
      <c r="BK18" s="106">
        <v>0</v>
      </c>
      <c r="BL18" s="113">
        <v>0</v>
      </c>
      <c r="BM18" s="107">
        <v>0</v>
      </c>
      <c r="BN18" s="107">
        <v>0</v>
      </c>
      <c r="BO18" s="107">
        <v>0</v>
      </c>
      <c r="BP18" s="107">
        <v>0</v>
      </c>
      <c r="BQ18" s="144">
        <v>0</v>
      </c>
      <c r="BR18" s="144">
        <v>0</v>
      </c>
      <c r="BS18" s="144">
        <v>0</v>
      </c>
      <c r="BT18" s="144">
        <v>0</v>
      </c>
      <c r="BU18" s="144">
        <v>0</v>
      </c>
      <c r="BV18" s="144">
        <v>0</v>
      </c>
      <c r="BW18" s="144">
        <v>0</v>
      </c>
      <c r="BX18" s="181">
        <v>0</v>
      </c>
      <c r="BY18" s="181">
        <v>0</v>
      </c>
      <c r="BZ18" s="181">
        <v>0</v>
      </c>
      <c r="CA18" s="181">
        <v>0</v>
      </c>
      <c r="CB18" s="181">
        <v>0</v>
      </c>
      <c r="CC18" s="181">
        <v>0</v>
      </c>
      <c r="CD18" s="181">
        <v>0</v>
      </c>
      <c r="CE18" s="177">
        <v>0</v>
      </c>
      <c r="CF18" s="177">
        <v>0</v>
      </c>
      <c r="CG18" s="177">
        <v>0</v>
      </c>
      <c r="CH18" s="177">
        <v>0</v>
      </c>
      <c r="CI18" s="177">
        <v>0</v>
      </c>
      <c r="CJ18" s="84">
        <v>0</v>
      </c>
      <c r="CK18" s="203">
        <v>0</v>
      </c>
      <c r="CL18" s="203">
        <v>0</v>
      </c>
      <c r="CM18" s="203">
        <v>0</v>
      </c>
      <c r="CN18" s="203">
        <v>0</v>
      </c>
      <c r="CO18" s="203">
        <v>0</v>
      </c>
      <c r="CP18" s="203">
        <v>0</v>
      </c>
      <c r="CQ18" s="203">
        <v>0</v>
      </c>
      <c r="CR18" s="203">
        <v>0</v>
      </c>
      <c r="CS18" s="203">
        <v>0</v>
      </c>
      <c r="CT18" s="203">
        <v>0</v>
      </c>
      <c r="CU18" s="203">
        <v>0</v>
      </c>
      <c r="CV18" s="203">
        <v>0</v>
      </c>
      <c r="CW18" s="203">
        <v>0</v>
      </c>
      <c r="CX18" s="203">
        <v>0</v>
      </c>
      <c r="CY18" s="203">
        <v>0</v>
      </c>
      <c r="CZ18" s="203">
        <v>0</v>
      </c>
      <c r="DA18" s="203">
        <v>0</v>
      </c>
      <c r="DB18" s="203">
        <v>0</v>
      </c>
      <c r="DC18" s="203">
        <v>0</v>
      </c>
      <c r="DD18" s="203">
        <v>0</v>
      </c>
      <c r="DE18" s="203">
        <v>0</v>
      </c>
      <c r="DF18" s="203">
        <v>0</v>
      </c>
      <c r="DG18" s="203">
        <v>0</v>
      </c>
      <c r="DH18" s="203">
        <v>0</v>
      </c>
      <c r="DI18" s="203">
        <v>0</v>
      </c>
      <c r="DJ18" s="203">
        <v>0</v>
      </c>
      <c r="DK18" s="203">
        <v>0</v>
      </c>
      <c r="DL18" s="203">
        <v>0</v>
      </c>
      <c r="DM18" s="202">
        <v>7.3510235499999999</v>
      </c>
      <c r="DN18" s="203">
        <v>0</v>
      </c>
      <c r="DO18" s="203">
        <v>0</v>
      </c>
      <c r="DP18" s="203">
        <v>0</v>
      </c>
      <c r="DQ18" s="203">
        <v>0</v>
      </c>
      <c r="DR18" s="203">
        <v>0</v>
      </c>
      <c r="DS18" s="203">
        <v>5.6924397000000004</v>
      </c>
      <c r="FG18" s="18"/>
    </row>
    <row r="19" spans="1:163">
      <c r="A19" s="17" t="s">
        <v>57</v>
      </c>
      <c r="B19" s="142" t="s">
        <v>49</v>
      </c>
      <c r="C19" s="19" t="s">
        <v>57</v>
      </c>
      <c r="D19" s="57">
        <v>60.7</v>
      </c>
      <c r="E19" s="57">
        <v>57</v>
      </c>
      <c r="F19" s="57">
        <v>77.2</v>
      </c>
      <c r="G19" s="57">
        <v>43.5</v>
      </c>
      <c r="H19" s="57">
        <v>26.9</v>
      </c>
      <c r="I19" s="57">
        <v>19.3</v>
      </c>
      <c r="J19" s="57">
        <v>29.2</v>
      </c>
      <c r="K19" s="57">
        <v>43.4</v>
      </c>
      <c r="L19" s="57">
        <v>43.1</v>
      </c>
      <c r="M19" s="57">
        <v>24.1</v>
      </c>
      <c r="N19" s="57">
        <v>23.4</v>
      </c>
      <c r="O19" s="57">
        <v>17.3</v>
      </c>
      <c r="P19" s="57">
        <v>11.3</v>
      </c>
      <c r="Q19" s="57">
        <v>13</v>
      </c>
      <c r="R19" s="57">
        <v>14.5</v>
      </c>
      <c r="S19" s="57">
        <v>17.3</v>
      </c>
      <c r="T19" s="57">
        <v>13.3</v>
      </c>
      <c r="U19" s="57">
        <v>21.4</v>
      </c>
      <c r="V19" s="57">
        <v>17.600000000000001</v>
      </c>
      <c r="W19" s="57">
        <v>285.10000000000002</v>
      </c>
      <c r="X19" s="57">
        <v>19.3</v>
      </c>
      <c r="Y19" s="57">
        <v>10.3</v>
      </c>
      <c r="Z19" s="57">
        <v>36.5</v>
      </c>
      <c r="AA19" s="57">
        <v>575.79999999999995</v>
      </c>
      <c r="AB19" s="57">
        <v>75.599999999999994</v>
      </c>
      <c r="AC19" s="57">
        <v>42.9</v>
      </c>
      <c r="AD19" s="57">
        <v>36.700000000000003</v>
      </c>
      <c r="AE19" s="57">
        <v>5.7</v>
      </c>
      <c r="AF19" s="57">
        <v>21.5</v>
      </c>
      <c r="AG19" s="57">
        <v>11.8</v>
      </c>
      <c r="AH19" s="58">
        <v>23</v>
      </c>
      <c r="AI19" s="58">
        <v>1.9</v>
      </c>
      <c r="AJ19" s="46">
        <v>17.7</v>
      </c>
      <c r="AK19" s="46">
        <v>0.2</v>
      </c>
      <c r="AL19" s="58">
        <v>0</v>
      </c>
      <c r="AM19" s="57">
        <v>6.6</v>
      </c>
      <c r="AN19" s="57">
        <v>18.899999999999999</v>
      </c>
      <c r="AO19" s="57">
        <v>2.04</v>
      </c>
      <c r="AP19" s="57">
        <v>0</v>
      </c>
      <c r="AQ19" s="57">
        <v>0.2</v>
      </c>
      <c r="AR19" s="57">
        <v>0</v>
      </c>
      <c r="AS19" s="57">
        <v>8.0399999999999991</v>
      </c>
      <c r="AT19" s="57">
        <f>SUM(AT17:AT18)</f>
        <v>19.64</v>
      </c>
      <c r="AU19" s="58">
        <f>SUM(AU17:AU18)</f>
        <v>0.89</v>
      </c>
      <c r="AV19" s="58">
        <f>SUM(AV17:AV18)</f>
        <v>0</v>
      </c>
      <c r="AW19" s="58">
        <f>SUM(AW17:AW18)</f>
        <v>3.7199999999999998</v>
      </c>
      <c r="AX19" s="69">
        <f>SUM(AX17:AX18)</f>
        <v>0</v>
      </c>
      <c r="AY19" s="66">
        <f t="shared" ref="AY19:BD19" si="3">SUM(AY17:AY18)</f>
        <v>7.5</v>
      </c>
      <c r="AZ19" s="85">
        <f t="shared" si="3"/>
        <v>20.02</v>
      </c>
      <c r="BA19" s="79">
        <f t="shared" si="3"/>
        <v>0.89</v>
      </c>
      <c r="BB19" s="79">
        <f t="shared" si="3"/>
        <v>0</v>
      </c>
      <c r="BC19" s="119">
        <f t="shared" si="3"/>
        <v>0.22713426</v>
      </c>
      <c r="BD19" s="119">
        <f t="shared" si="3"/>
        <v>0</v>
      </c>
      <c r="BE19" s="60">
        <v>8.0890000000000004</v>
      </c>
      <c r="BF19">
        <v>18.170000000000002</v>
      </c>
      <c r="BG19" s="60">
        <v>1.4216716398146105</v>
      </c>
      <c r="BH19" s="106">
        <f>SUM(BH17:BH18)</f>
        <v>0</v>
      </c>
      <c r="BI19" s="107">
        <f>SUM(BI17:BI18)</f>
        <v>0.24005147219193024</v>
      </c>
      <c r="BJ19" s="107">
        <f>SUM(BJ17:BJ18)</f>
        <v>0</v>
      </c>
      <c r="BK19" s="107">
        <v>8.4549368000000005</v>
      </c>
      <c r="BL19" s="113">
        <v>19.230843</v>
      </c>
      <c r="BM19" s="107">
        <f t="shared" ref="BM19:BR19" si="4">SUM(BM17:BM18)</f>
        <v>1.5505902109124254</v>
      </c>
      <c r="BN19" s="107">
        <f t="shared" si="4"/>
        <v>0</v>
      </c>
      <c r="BO19" s="107">
        <f t="shared" si="4"/>
        <v>1.5588954315621117</v>
      </c>
      <c r="BP19" s="107">
        <f t="shared" si="4"/>
        <v>0</v>
      </c>
      <c r="BQ19" s="132">
        <f t="shared" si="4"/>
        <v>8.5538018999999998</v>
      </c>
      <c r="BR19" s="132">
        <f t="shared" si="4"/>
        <v>430.25412849999998</v>
      </c>
      <c r="BS19" s="132">
        <v>0</v>
      </c>
      <c r="BT19" s="132">
        <v>0</v>
      </c>
      <c r="BU19" s="132">
        <v>1.2211278000000001</v>
      </c>
      <c r="BV19" s="132">
        <v>0.32372681704260647</v>
      </c>
      <c r="BW19" s="132">
        <v>8.4742026065896798</v>
      </c>
      <c r="BX19" s="180">
        <v>0</v>
      </c>
      <c r="BY19" s="180">
        <v>1.5442020300000001</v>
      </c>
      <c r="BZ19" s="180">
        <v>0.43069353999999999</v>
      </c>
      <c r="CA19" s="180">
        <v>1.2956095300000001</v>
      </c>
      <c r="CB19" s="180">
        <v>3.2123849788609798E-2</v>
      </c>
      <c r="CC19" s="180">
        <v>8.6188667500000005</v>
      </c>
      <c r="CD19" s="180">
        <v>0</v>
      </c>
      <c r="CE19" s="180">
        <v>1.3171759747102201</v>
      </c>
      <c r="CF19" s="180">
        <v>4.0384448500000003</v>
      </c>
      <c r="CG19" s="180">
        <v>1.9289271499999998</v>
      </c>
      <c r="CH19" s="180">
        <v>0.35550788</v>
      </c>
      <c r="CI19" s="180">
        <v>9.6050029900000009</v>
      </c>
      <c r="CJ19" s="84">
        <f>SUM(CJ17:CJ18)</f>
        <v>25.540474849999999</v>
      </c>
      <c r="CK19" s="84">
        <f t="shared" ref="CK19:CS19" si="5">SUM(CK17:CK18)</f>
        <v>1.3210737699999999</v>
      </c>
      <c r="CL19" s="84">
        <f t="shared" si="5"/>
        <v>4.7781398700000004</v>
      </c>
      <c r="CM19" s="84">
        <f t="shared" si="5"/>
        <v>3.4268075900000001</v>
      </c>
      <c r="CN19" s="84">
        <f t="shared" si="5"/>
        <v>0.48705078000000002</v>
      </c>
      <c r="CO19" s="84">
        <f>SUM(CO17:CO18)</f>
        <v>10.27937985</v>
      </c>
      <c r="CP19" s="84">
        <f>SUM(CP17:CP18)</f>
        <v>27.410126779999999</v>
      </c>
      <c r="CQ19" s="84">
        <f>SUM(CQ17:CQ18)</f>
        <v>1.4712806026365302</v>
      </c>
      <c r="CR19" s="84">
        <f>SUM(CR17:CR18)</f>
        <v>8.7889053000000015</v>
      </c>
      <c r="CS19" s="84">
        <f t="shared" si="5"/>
        <v>4.8679225655847054</v>
      </c>
      <c r="CT19" s="79">
        <f t="shared" ref="CT19" si="6">SUM(CT17:CT18)</f>
        <v>6.4613319936311999</v>
      </c>
      <c r="CU19" s="79">
        <f>SUM(CU17:CU18)</f>
        <v>5.2944925709007347</v>
      </c>
      <c r="CV19" s="79">
        <f>SUM(CV17:CV18)</f>
        <v>29.88984129</v>
      </c>
      <c r="CW19" s="79">
        <f>SUM(CW17:CW18)</f>
        <v>96.521118799999996</v>
      </c>
      <c r="CX19" s="79">
        <f>SUM(CX17:CX18)</f>
        <v>11.38476616</v>
      </c>
      <c r="CY19" s="79">
        <f>SUM(CY17:CY18)</f>
        <v>7.0046284568778496</v>
      </c>
      <c r="CZ19" s="79">
        <f t="shared" ref="CZ19:DG19" si="7">SUM(CZ17:CZ18)</f>
        <v>6.5700231842199779</v>
      </c>
      <c r="DA19" s="79">
        <f t="shared" si="7"/>
        <v>4.6359392540368436</v>
      </c>
      <c r="DB19" s="79">
        <f t="shared" si="7"/>
        <v>29.223440440000001</v>
      </c>
      <c r="DC19" s="79">
        <f t="shared" si="7"/>
        <v>21.46155439</v>
      </c>
      <c r="DD19" s="79">
        <f t="shared" si="7"/>
        <v>12.373480927121772</v>
      </c>
      <c r="DE19" s="79">
        <f t="shared" si="7"/>
        <v>14.068266668893024</v>
      </c>
      <c r="DF19" s="79">
        <f t="shared" si="7"/>
        <v>6.5671841561938997</v>
      </c>
      <c r="DG19" s="79">
        <f t="shared" si="7"/>
        <v>4.8638791590909092</v>
      </c>
      <c r="DH19" s="79">
        <f t="shared" ref="DH19:DS19" si="8">SUM(DH17:DH18)</f>
        <v>29.264006822390645</v>
      </c>
      <c r="DI19" s="79">
        <f t="shared" si="8"/>
        <v>21.275904492365402</v>
      </c>
      <c r="DJ19" s="79">
        <f t="shared" si="8"/>
        <v>12.392813753050424</v>
      </c>
      <c r="DK19" s="79">
        <f t="shared" si="8"/>
        <v>14.532483543298129</v>
      </c>
      <c r="DL19" s="79">
        <f t="shared" si="8"/>
        <v>6.6087110608954367</v>
      </c>
      <c r="DM19" s="79">
        <f t="shared" si="8"/>
        <v>12.47080963</v>
      </c>
      <c r="DN19" s="79">
        <f t="shared" si="8"/>
        <v>29.302911900000002</v>
      </c>
      <c r="DO19" s="79">
        <f t="shared" si="8"/>
        <v>21.271364899999998</v>
      </c>
      <c r="DP19" s="79">
        <f t="shared" si="8"/>
        <v>13.828856050000001</v>
      </c>
      <c r="DQ19" s="79">
        <f t="shared" si="8"/>
        <v>15.443453399999999</v>
      </c>
      <c r="DR19" s="79">
        <f t="shared" si="8"/>
        <v>6.9098873000000003</v>
      </c>
      <c r="DS19" s="79">
        <f t="shared" si="8"/>
        <v>11.219472400000001</v>
      </c>
      <c r="FG19" s="18"/>
    </row>
    <row r="20" spans="1:163">
      <c r="A20" s="17"/>
      <c r="B20" s="143" t="s">
        <v>51</v>
      </c>
      <c r="C20" s="19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8"/>
      <c r="AI20" s="58"/>
      <c r="AJ20" s="46"/>
      <c r="AK20" s="46"/>
      <c r="AL20" s="58"/>
      <c r="AM20" s="57"/>
      <c r="AN20" s="57"/>
      <c r="AO20" s="57"/>
      <c r="AP20" s="57"/>
      <c r="AQ20" s="57"/>
      <c r="AR20" s="57"/>
      <c r="AS20" s="57"/>
      <c r="AT20" s="57"/>
      <c r="AU20" s="58"/>
      <c r="AX20" s="69"/>
      <c r="AY20" s="58"/>
      <c r="AZ20" s="86"/>
      <c r="BA20" s="107"/>
      <c r="BB20" s="110"/>
      <c r="BC20" s="119"/>
      <c r="BD20" s="119"/>
      <c r="BE20" s="60"/>
      <c r="BG20" s="60"/>
      <c r="BH20" s="106"/>
      <c r="BI20" s="107"/>
      <c r="BJ20" s="107"/>
      <c r="BK20" s="107"/>
      <c r="BL20" s="113"/>
      <c r="BM20" s="107"/>
      <c r="BQ20" s="107"/>
      <c r="BX20" s="117"/>
      <c r="BY20" s="117"/>
      <c r="BZ20" s="117"/>
      <c r="CA20" s="117"/>
      <c r="CB20" s="117"/>
      <c r="CC20" s="117"/>
      <c r="CD20" s="117"/>
      <c r="CJ20" s="107"/>
      <c r="CK20" s="107"/>
      <c r="CL20" s="107"/>
      <c r="CM20" s="107"/>
      <c r="CN20" s="107"/>
      <c r="CO20" s="107"/>
      <c r="CP20" s="107"/>
      <c r="CQ20" s="107"/>
      <c r="CR20" s="107"/>
      <c r="CS20" s="107"/>
      <c r="CT20" s="107"/>
      <c r="CU20" s="107"/>
      <c r="CV20" s="107"/>
      <c r="CW20" s="247"/>
      <c r="CX20" s="247"/>
      <c r="CY20" s="247"/>
      <c r="CZ20" s="247"/>
      <c r="DA20" s="107"/>
      <c r="DB20" s="247"/>
      <c r="DC20" s="247"/>
      <c r="DD20" s="247"/>
      <c r="DE20" s="247"/>
      <c r="DF20" s="247"/>
      <c r="DG20" s="247"/>
      <c r="DH20" s="247"/>
      <c r="DI20" s="247"/>
      <c r="DJ20" s="107"/>
      <c r="DK20" s="247"/>
      <c r="DL20" s="247"/>
      <c r="DM20" s="247"/>
      <c r="DN20" s="247"/>
      <c r="FG20" s="18"/>
    </row>
    <row r="21" spans="1:163">
      <c r="A21" s="17" t="s">
        <v>58</v>
      </c>
      <c r="B21" s="142" t="s">
        <v>46</v>
      </c>
      <c r="C21" s="19" t="s">
        <v>58</v>
      </c>
      <c r="D21" s="57">
        <v>14.2</v>
      </c>
      <c r="E21" s="57">
        <v>13.6</v>
      </c>
      <c r="F21" s="57">
        <v>12.9</v>
      </c>
      <c r="G21" s="57">
        <v>12.6</v>
      </c>
      <c r="H21" s="57">
        <v>11.1</v>
      </c>
      <c r="I21" s="57">
        <v>10.1</v>
      </c>
      <c r="J21" s="57">
        <v>11.8</v>
      </c>
      <c r="K21" s="57">
        <v>12.2</v>
      </c>
      <c r="L21" s="57">
        <v>11.1</v>
      </c>
      <c r="M21" s="57">
        <v>9.5</v>
      </c>
      <c r="N21" s="57">
        <v>8.6999999999999993</v>
      </c>
      <c r="O21" s="57">
        <v>8.3000000000000007</v>
      </c>
      <c r="P21" s="57">
        <v>5.9</v>
      </c>
      <c r="Q21" s="57">
        <v>5.5</v>
      </c>
      <c r="R21" s="57">
        <v>5.8</v>
      </c>
      <c r="S21" s="57">
        <v>22.8</v>
      </c>
      <c r="T21" s="57">
        <v>21.5</v>
      </c>
      <c r="U21" s="57">
        <v>25.2</v>
      </c>
      <c r="V21" s="57">
        <v>23.7</v>
      </c>
      <c r="W21" s="57">
        <v>41.8</v>
      </c>
      <c r="X21" s="57">
        <v>45.5</v>
      </c>
      <c r="Y21" s="57">
        <v>49.6</v>
      </c>
      <c r="Z21" s="57">
        <v>51.7</v>
      </c>
      <c r="AA21" s="57">
        <v>76.3</v>
      </c>
      <c r="AB21" s="57">
        <v>42.4</v>
      </c>
      <c r="AC21" s="57">
        <v>46.3</v>
      </c>
      <c r="AD21" s="57">
        <v>7.2</v>
      </c>
      <c r="AE21" s="57">
        <v>14.2</v>
      </c>
      <c r="AF21" s="57">
        <v>6.8</v>
      </c>
      <c r="AG21" s="57">
        <v>14.1</v>
      </c>
      <c r="AH21" s="58">
        <v>21.1</v>
      </c>
      <c r="AI21" s="58">
        <v>1.6</v>
      </c>
      <c r="AJ21" s="46">
        <v>20.9</v>
      </c>
      <c r="AK21" s="46">
        <v>2.8</v>
      </c>
      <c r="AL21" s="58">
        <v>0.02</v>
      </c>
      <c r="AM21" s="57">
        <v>1.6950000000000001</v>
      </c>
      <c r="AN21" s="57">
        <v>5.68</v>
      </c>
      <c r="AO21" s="57">
        <v>13.49</v>
      </c>
      <c r="AP21" s="57">
        <v>2.6</v>
      </c>
      <c r="AQ21" s="57">
        <v>0.6</v>
      </c>
      <c r="AR21" s="57">
        <v>0.17</v>
      </c>
      <c r="AS21" s="57">
        <v>2.2122474926440128</v>
      </c>
      <c r="AT21" s="57">
        <v>19.774749622449619</v>
      </c>
      <c r="AU21" s="58">
        <v>0.27659439878892733</v>
      </c>
      <c r="AV21" s="51">
        <v>3.3962562294073235</v>
      </c>
      <c r="AW21" s="51">
        <v>0.99521206467306889</v>
      </c>
      <c r="AX21" s="69">
        <v>0.15397644602807295</v>
      </c>
      <c r="AY21" s="58">
        <v>2.4475787793263617</v>
      </c>
      <c r="AZ21" s="85">
        <v>5.482304199962428</v>
      </c>
      <c r="BA21" s="102">
        <v>14.582356733449419</v>
      </c>
      <c r="BB21" s="110">
        <v>4.3527273179165755</v>
      </c>
      <c r="BC21" s="119">
        <v>572.14296999999999</v>
      </c>
      <c r="BD21" s="119">
        <v>0.17002453000000001</v>
      </c>
      <c r="BE21" s="60">
        <v>2.5506585373767012</v>
      </c>
      <c r="BF21" s="51">
        <v>19.262104508503974</v>
      </c>
      <c r="BG21" s="60">
        <v>1.13032630571828</v>
      </c>
      <c r="BH21" s="106">
        <v>4.1289141633728583</v>
      </c>
      <c r="BI21" s="106">
        <v>0.46774629574234033</v>
      </c>
      <c r="BJ21" s="106">
        <v>0.14328135299219427</v>
      </c>
      <c r="BK21" s="107">
        <v>1.9352467747938</v>
      </c>
      <c r="BL21" s="113">
        <v>4.6543894300450477</v>
      </c>
      <c r="BM21" s="107">
        <v>16.302996176095629</v>
      </c>
      <c r="BN21" s="107">
        <v>3.3275533198289442</v>
      </c>
      <c r="BO21" s="107">
        <f>'[7]Debt Servicing'!$G$74/1000000</f>
        <v>0.38355540904170288</v>
      </c>
      <c r="BP21" s="107">
        <f>'[7]Debt Servicing'!$G$77/1000000</f>
        <v>1.491183935135135</v>
      </c>
      <c r="BQ21" s="75">
        <v>1.8103435000000001</v>
      </c>
      <c r="BR21" s="75">
        <v>14.4567826</v>
      </c>
      <c r="BS21" s="75">
        <v>0.275289238621863</v>
      </c>
      <c r="BT21" s="75">
        <v>3.0638502392709999</v>
      </c>
      <c r="BU21" s="75">
        <v>0.90034760000000003</v>
      </c>
      <c r="BV21" s="75">
        <v>0.6323294099715725</v>
      </c>
      <c r="BW21" s="75">
        <v>0.58490277757489695</v>
      </c>
      <c r="BX21" s="171">
        <v>0.22987914999999998</v>
      </c>
      <c r="BY21" s="171">
        <v>2.3665383600000003</v>
      </c>
      <c r="BZ21" s="171">
        <v>2.0334909400000001</v>
      </c>
      <c r="CA21" s="171">
        <v>0.54330441000000007</v>
      </c>
      <c r="CB21" s="171">
        <v>0.57110569536075295</v>
      </c>
      <c r="CC21" s="171">
        <v>1.1068256500000002</v>
      </c>
      <c r="CD21" s="171">
        <v>0.48865608999999999</v>
      </c>
      <c r="CE21" s="171">
        <v>1.652713382507903</v>
      </c>
      <c r="CF21" s="171">
        <v>2.0539259799999998</v>
      </c>
      <c r="CG21" s="171">
        <v>0.49536850999999998</v>
      </c>
      <c r="CH21" s="171">
        <v>0.50498812999999998</v>
      </c>
      <c r="CI21" s="171">
        <v>1.9723910399999998</v>
      </c>
      <c r="CJ21" s="79">
        <v>4.7593071199999999</v>
      </c>
      <c r="CK21" s="203">
        <v>1.5106164900000001</v>
      </c>
      <c r="CL21" s="203">
        <v>1.9777914400000001</v>
      </c>
      <c r="CM21" s="203">
        <v>0.61030428000000003</v>
      </c>
      <c r="CN21" s="203">
        <v>0.75726789999999999</v>
      </c>
      <c r="CO21" s="203">
        <v>2.34392282</v>
      </c>
      <c r="CP21" s="203">
        <v>4.6607480599999995</v>
      </c>
      <c r="CQ21" s="203">
        <v>5.8550141696045195</v>
      </c>
      <c r="CR21" s="203">
        <v>6.5298362404812087</v>
      </c>
      <c r="CS21" s="203">
        <v>9.3682545624588709</v>
      </c>
      <c r="CT21" s="203">
        <v>5.7141897547479203</v>
      </c>
      <c r="CU21" s="203">
        <v>4.9276731900849091</v>
      </c>
      <c r="CV21" s="203">
        <v>4.8224875200000001</v>
      </c>
      <c r="CW21" s="203">
        <f>57.3482391+0.0744625</f>
        <v>57.422701600000003</v>
      </c>
      <c r="CX21" s="203">
        <f>Central_Government_Debt_M!BP57</f>
        <v>9.5079597200000006</v>
      </c>
      <c r="CY21" s="203">
        <f>Central_Government_Debt_M!BQ57</f>
        <v>14.607710724994586</v>
      </c>
      <c r="CZ21" s="203">
        <f>Central_Government_Debt_M!BR57</f>
        <v>7.9999209464852576</v>
      </c>
      <c r="DA21" s="203">
        <f>Central_Government_Debt_M!BS57</f>
        <v>6.0011377819994998</v>
      </c>
      <c r="DB21" s="203">
        <f>Central_Government_Debt_M!BT57</f>
        <v>4.6229942940493993</v>
      </c>
      <c r="DC21" s="203">
        <f>Central_Government_Debt_M!BU57</f>
        <v>14.79400432807822</v>
      </c>
      <c r="DD21" s="203">
        <f>Central_Government_Debt_M!BV57</f>
        <v>13.411701215543333</v>
      </c>
      <c r="DE21" s="203">
        <f>Central_Government_Debt_M!BW57</f>
        <v>21.095409810696168</v>
      </c>
      <c r="DF21" s="203">
        <v>8.6704819120287198</v>
      </c>
      <c r="DG21" s="203">
        <f>Central_Government_Debt_M!BY57</f>
        <v>6.2568724689160478</v>
      </c>
      <c r="DH21" s="203">
        <f>Central_Government_Debt_M!BZ57</f>
        <v>4.2769832276093567</v>
      </c>
      <c r="DI21" s="203">
        <f>Central_Government_Debt_M!CA57</f>
        <v>14.418912957599485</v>
      </c>
      <c r="DJ21" s="203">
        <f>Central_Government_Debt_M!CB57</f>
        <v>13.242468558799459</v>
      </c>
      <c r="DK21" s="203">
        <f>Central_Government_Debt_M!CC57</f>
        <v>21.50341172670187</v>
      </c>
      <c r="DL21" s="203">
        <f>Central_Government_Debt_M!CD57</f>
        <v>8.587291909104561</v>
      </c>
      <c r="DM21" s="203">
        <f>Central_Government_Debt_M!CE57</f>
        <v>6.0719104699999997</v>
      </c>
      <c r="DN21" s="203">
        <f>Central_Government_Debt_M!CF57</f>
        <v>3.9625412999999998</v>
      </c>
      <c r="DO21" s="203">
        <f>Central_Government_Debt_M!CG57</f>
        <v>13.8037335</v>
      </c>
      <c r="DP21" s="203">
        <f>Central_Government_Debt_M!CH57</f>
        <v>13.88125344</v>
      </c>
      <c r="DQ21" s="203">
        <f>Central_Government_Debt_M!CI57</f>
        <v>21.372368300000002</v>
      </c>
      <c r="DR21" s="203">
        <f>Central_Government_Debt_M!CJ57</f>
        <v>11.1015528</v>
      </c>
      <c r="DS21" s="203">
        <f>Central_Government_Debt_M!CK57</f>
        <v>7.4647496000000002</v>
      </c>
      <c r="FG21" s="18"/>
    </row>
    <row r="22" spans="1:163">
      <c r="A22" s="17" t="s">
        <v>59</v>
      </c>
      <c r="B22" s="142" t="s">
        <v>47</v>
      </c>
      <c r="C22" s="19" t="s">
        <v>59</v>
      </c>
      <c r="D22" s="57">
        <v>11.1</v>
      </c>
      <c r="E22" s="57">
        <v>9.1999999999999993</v>
      </c>
      <c r="F22" s="57">
        <v>8.1</v>
      </c>
      <c r="G22" s="57">
        <v>2.1</v>
      </c>
      <c r="H22" s="57">
        <v>1.4</v>
      </c>
      <c r="I22" s="57">
        <v>1.1000000000000001</v>
      </c>
      <c r="J22" s="57">
        <v>1.3</v>
      </c>
      <c r="K22" s="57">
        <v>1.1000000000000001</v>
      </c>
      <c r="L22" s="57">
        <v>0.7</v>
      </c>
      <c r="M22" s="57">
        <v>0.4</v>
      </c>
      <c r="N22" s="57">
        <v>0.4</v>
      </c>
      <c r="O22" s="57">
        <v>0.2</v>
      </c>
      <c r="P22" s="57">
        <v>0.1</v>
      </c>
      <c r="Q22" s="57">
        <v>0</v>
      </c>
      <c r="R22" s="57">
        <v>0</v>
      </c>
      <c r="S22" s="57">
        <v>0.2</v>
      </c>
      <c r="T22" s="57">
        <v>0.5</v>
      </c>
      <c r="U22" s="57">
        <v>0.5</v>
      </c>
      <c r="V22" s="57">
        <v>0</v>
      </c>
      <c r="W22" s="57">
        <v>0</v>
      </c>
      <c r="X22" s="57">
        <v>0</v>
      </c>
      <c r="Y22" s="57">
        <v>0</v>
      </c>
      <c r="Z22" s="57">
        <v>0.1</v>
      </c>
      <c r="AA22" s="57">
        <v>0.9</v>
      </c>
      <c r="AB22" s="57">
        <v>0</v>
      </c>
      <c r="AC22" s="57">
        <v>0</v>
      </c>
      <c r="AD22" s="57">
        <v>0</v>
      </c>
      <c r="AE22" s="57">
        <v>0</v>
      </c>
      <c r="AF22" s="57">
        <v>0</v>
      </c>
      <c r="AG22" s="57">
        <v>0</v>
      </c>
      <c r="AH22" s="58">
        <v>0</v>
      </c>
      <c r="AI22" s="58">
        <v>0</v>
      </c>
      <c r="AJ22" s="46">
        <v>0</v>
      </c>
      <c r="AK22" s="46">
        <v>0</v>
      </c>
      <c r="AL22" s="58">
        <v>0</v>
      </c>
      <c r="AM22" s="57">
        <v>0.69</v>
      </c>
      <c r="AN22" s="57">
        <v>0</v>
      </c>
      <c r="AO22" s="57">
        <v>0</v>
      </c>
      <c r="AP22" s="57">
        <v>0</v>
      </c>
      <c r="AQ22" s="57">
        <v>0</v>
      </c>
      <c r="AR22" s="57">
        <v>0</v>
      </c>
      <c r="AS22" s="57">
        <v>0.97</v>
      </c>
      <c r="AT22" s="57">
        <v>0</v>
      </c>
      <c r="AU22" s="58">
        <v>0</v>
      </c>
      <c r="AV22" s="58">
        <v>0</v>
      </c>
      <c r="AW22" s="58">
        <v>0</v>
      </c>
      <c r="AX22" s="69">
        <v>0</v>
      </c>
      <c r="AY22" s="58">
        <v>0</v>
      </c>
      <c r="AZ22" s="86">
        <v>0</v>
      </c>
      <c r="BA22" s="86">
        <v>0</v>
      </c>
      <c r="BB22" s="110">
        <v>0</v>
      </c>
      <c r="BC22" s="119">
        <v>0</v>
      </c>
      <c r="BD22" s="119">
        <v>0</v>
      </c>
      <c r="BE22" s="60">
        <f>46247.9/1000000</f>
        <v>4.6247900000000002E-2</v>
      </c>
      <c r="BF22" s="51">
        <v>0</v>
      </c>
      <c r="BG22" s="60">
        <v>0</v>
      </c>
      <c r="BH22" s="106">
        <v>0</v>
      </c>
      <c r="BI22" s="106">
        <v>0</v>
      </c>
      <c r="BJ22" s="106">
        <v>0</v>
      </c>
      <c r="BK22" s="106">
        <v>0</v>
      </c>
      <c r="BL22" s="113">
        <v>0</v>
      </c>
      <c r="BM22" s="106">
        <v>0</v>
      </c>
      <c r="BN22" s="106">
        <v>0</v>
      </c>
      <c r="BO22" s="107">
        <v>0</v>
      </c>
      <c r="BP22" s="107">
        <v>0</v>
      </c>
      <c r="BQ22" s="144">
        <v>0</v>
      </c>
      <c r="BR22" s="144">
        <v>0</v>
      </c>
      <c r="BS22" s="144">
        <v>0</v>
      </c>
      <c r="BT22" s="144">
        <v>0</v>
      </c>
      <c r="BU22" s="144">
        <v>0</v>
      </c>
      <c r="BV22" s="144">
        <v>0</v>
      </c>
      <c r="BW22" s="144">
        <v>0</v>
      </c>
      <c r="BX22" s="144">
        <v>0</v>
      </c>
      <c r="BY22" s="144">
        <v>0</v>
      </c>
      <c r="BZ22" s="144">
        <v>0</v>
      </c>
      <c r="CA22" s="144">
        <v>0</v>
      </c>
      <c r="CB22" s="144">
        <v>0</v>
      </c>
      <c r="CC22" s="144">
        <v>0</v>
      </c>
      <c r="CD22" s="144">
        <v>0</v>
      </c>
      <c r="CE22" s="177">
        <v>0</v>
      </c>
      <c r="CF22" s="177">
        <v>0</v>
      </c>
      <c r="CG22" s="177">
        <v>0</v>
      </c>
      <c r="CH22" s="177">
        <v>0</v>
      </c>
      <c r="CI22" s="177">
        <v>0</v>
      </c>
      <c r="CJ22" s="84">
        <v>0</v>
      </c>
      <c r="CK22" s="203">
        <v>0</v>
      </c>
      <c r="CL22" s="203">
        <v>0</v>
      </c>
      <c r="CM22" s="203">
        <v>0</v>
      </c>
      <c r="CN22" s="203">
        <v>0</v>
      </c>
      <c r="CO22" s="203">
        <v>0</v>
      </c>
      <c r="CP22" s="203">
        <v>0</v>
      </c>
      <c r="CQ22" s="203">
        <v>0</v>
      </c>
      <c r="CR22" s="203">
        <v>0</v>
      </c>
      <c r="CS22" s="203">
        <v>0</v>
      </c>
      <c r="CT22" s="203">
        <v>0</v>
      </c>
      <c r="CU22" s="203">
        <v>0</v>
      </c>
      <c r="CV22" s="203">
        <v>0</v>
      </c>
      <c r="CW22" s="203">
        <v>0</v>
      </c>
      <c r="CX22" s="203">
        <v>0</v>
      </c>
      <c r="CY22" s="203">
        <v>0</v>
      </c>
      <c r="CZ22" s="203">
        <v>0</v>
      </c>
      <c r="DA22" s="203">
        <v>0</v>
      </c>
      <c r="DB22" s="203">
        <v>0</v>
      </c>
      <c r="DC22" s="203">
        <v>0</v>
      </c>
      <c r="DD22" s="203">
        <v>0</v>
      </c>
      <c r="DE22" s="203">
        <v>0</v>
      </c>
      <c r="DF22" s="203">
        <v>0</v>
      </c>
      <c r="DG22" s="203">
        <v>0</v>
      </c>
      <c r="DH22" s="203">
        <v>0</v>
      </c>
      <c r="DI22" s="203">
        <v>0</v>
      </c>
      <c r="DJ22" s="203">
        <v>0</v>
      </c>
      <c r="DK22" s="203">
        <v>0</v>
      </c>
      <c r="DL22" s="203">
        <v>0</v>
      </c>
      <c r="DM22" s="202">
        <v>0</v>
      </c>
      <c r="DN22" s="202">
        <v>0</v>
      </c>
      <c r="DO22" s="202">
        <v>0</v>
      </c>
      <c r="DP22" s="202">
        <v>0</v>
      </c>
      <c r="DQ22" s="202">
        <v>0</v>
      </c>
      <c r="DR22" s="202">
        <v>0</v>
      </c>
      <c r="DS22" s="202">
        <v>0</v>
      </c>
      <c r="FG22" s="18"/>
    </row>
    <row r="23" spans="1:163">
      <c r="A23" s="17" t="s">
        <v>60</v>
      </c>
      <c r="B23" s="142" t="s">
        <v>49</v>
      </c>
      <c r="C23" s="19" t="s">
        <v>60</v>
      </c>
      <c r="D23" s="57">
        <v>25.3</v>
      </c>
      <c r="E23" s="57">
        <v>22.8</v>
      </c>
      <c r="F23" s="57">
        <v>21</v>
      </c>
      <c r="G23" s="57">
        <v>14.8</v>
      </c>
      <c r="H23" s="57">
        <v>12.5</v>
      </c>
      <c r="I23" s="57">
        <v>11.1</v>
      </c>
      <c r="J23" s="57">
        <v>13.1</v>
      </c>
      <c r="K23" s="57">
        <v>13.3</v>
      </c>
      <c r="L23" s="57">
        <v>11.8</v>
      </c>
      <c r="M23" s="57">
        <v>9.9</v>
      </c>
      <c r="N23" s="57">
        <v>9.1</v>
      </c>
      <c r="O23" s="57">
        <v>8.4</v>
      </c>
      <c r="P23" s="57">
        <v>6</v>
      </c>
      <c r="Q23" s="57">
        <v>5.5</v>
      </c>
      <c r="R23" s="57">
        <v>5.9</v>
      </c>
      <c r="S23" s="57">
        <v>23</v>
      </c>
      <c r="T23" s="57">
        <v>22.1</v>
      </c>
      <c r="U23" s="57">
        <v>25.7</v>
      </c>
      <c r="V23" s="57">
        <v>23.7</v>
      </c>
      <c r="W23" s="57">
        <v>41.8</v>
      </c>
      <c r="X23" s="57">
        <v>45.5</v>
      </c>
      <c r="Y23" s="57">
        <v>49.6</v>
      </c>
      <c r="Z23" s="57">
        <v>51.8</v>
      </c>
      <c r="AA23" s="57">
        <v>77.099999999999994</v>
      </c>
      <c r="AB23" s="57">
        <v>42.4</v>
      </c>
      <c r="AC23" s="57">
        <v>46.3</v>
      </c>
      <c r="AD23" s="57">
        <v>7.2</v>
      </c>
      <c r="AE23" s="57">
        <v>14.2</v>
      </c>
      <c r="AF23" s="57">
        <v>6.8</v>
      </c>
      <c r="AG23" s="57">
        <v>14.1</v>
      </c>
      <c r="AH23" s="58">
        <v>21.1</v>
      </c>
      <c r="AI23" s="58">
        <v>1.6</v>
      </c>
      <c r="AJ23" s="46">
        <v>20.9</v>
      </c>
      <c r="AK23" s="46">
        <v>2.8</v>
      </c>
      <c r="AL23" s="58">
        <v>0</v>
      </c>
      <c r="AM23" s="57">
        <v>1.7</v>
      </c>
      <c r="AN23" s="57">
        <v>5.3</v>
      </c>
      <c r="AO23" s="57">
        <v>13.9</v>
      </c>
      <c r="AP23" s="57">
        <v>2.5</v>
      </c>
      <c r="AQ23" s="57">
        <v>0.6</v>
      </c>
      <c r="AR23" s="57">
        <v>0.2</v>
      </c>
      <c r="AS23" s="57">
        <v>2.2000000000000002</v>
      </c>
      <c r="AT23" s="57">
        <v>0</v>
      </c>
      <c r="AU23" s="58">
        <f t="shared" ref="AU23:AZ23" si="9">SUM(AU21:AU22)</f>
        <v>0.27659439878892733</v>
      </c>
      <c r="AV23" s="58">
        <f t="shared" si="9"/>
        <v>3.3962562294073235</v>
      </c>
      <c r="AW23" s="58">
        <f t="shared" si="9"/>
        <v>0.99521206467306889</v>
      </c>
      <c r="AX23" s="69">
        <f>SUM(AX21:AX22)</f>
        <v>0.15397644602807295</v>
      </c>
      <c r="AY23" s="66">
        <f t="shared" si="9"/>
        <v>2.4475787793263617</v>
      </c>
      <c r="AZ23" s="85">
        <f t="shared" si="9"/>
        <v>5.482304199962428</v>
      </c>
      <c r="BA23" s="79">
        <f>SUM(BA21:BA22)</f>
        <v>14.582356733449419</v>
      </c>
      <c r="BB23" s="79">
        <f>SUM(BB21:BB22)</f>
        <v>4.3527273179165755</v>
      </c>
      <c r="BC23" s="119">
        <f>SUM(BC21:BC22)</f>
        <v>572.14296999999999</v>
      </c>
      <c r="BD23" s="119">
        <f>SUM(BD21:BD22)</f>
        <v>0.17002453000000001</v>
      </c>
      <c r="BE23" s="60">
        <v>2.5510000000000002</v>
      </c>
      <c r="BF23" s="51">
        <v>19.306000000000001</v>
      </c>
      <c r="BG23" s="60">
        <v>1.130326305718278</v>
      </c>
      <c r="BH23" s="106">
        <f>SUM(BH21:BH22)</f>
        <v>4.1289141633728583</v>
      </c>
      <c r="BI23" s="107">
        <f>SUM(BI21:BI22)</f>
        <v>0.46774629574234033</v>
      </c>
      <c r="BJ23" s="107">
        <f>SUM(BJ21:BJ22)</f>
        <v>0.14328135299219427</v>
      </c>
      <c r="BK23" s="107">
        <v>1.9352468</v>
      </c>
      <c r="BL23" s="113">
        <v>4.6543894000000003</v>
      </c>
      <c r="BM23" s="107">
        <f t="shared" ref="BM23:BR23" si="10">SUM(BM21:BM22)</f>
        <v>16.302996176095629</v>
      </c>
      <c r="BN23" s="107">
        <f t="shared" si="10"/>
        <v>3.3275533198289442</v>
      </c>
      <c r="BO23" s="107">
        <f t="shared" si="10"/>
        <v>0.38355540904170288</v>
      </c>
      <c r="BP23" s="107">
        <f t="shared" si="10"/>
        <v>1.491183935135135</v>
      </c>
      <c r="BQ23" s="132">
        <f t="shared" si="10"/>
        <v>1.8103435000000001</v>
      </c>
      <c r="BR23" s="132">
        <f t="shared" si="10"/>
        <v>14.4567826</v>
      </c>
      <c r="BS23" s="132">
        <v>0.275289238621863</v>
      </c>
      <c r="BT23" s="132">
        <v>3.0638502392709999</v>
      </c>
      <c r="BU23" s="132">
        <v>0.90034760000000003</v>
      </c>
      <c r="BV23" s="132">
        <v>0.6323294099715725</v>
      </c>
      <c r="BW23" s="132">
        <v>0.58490277757489695</v>
      </c>
      <c r="BX23" s="132">
        <v>0.22987914999999998</v>
      </c>
      <c r="BY23" s="132">
        <v>2.3665383600000003</v>
      </c>
      <c r="BZ23" s="132">
        <v>2.0334909400000001</v>
      </c>
      <c r="CA23" s="132">
        <v>0.54330441000000007</v>
      </c>
      <c r="CB23" s="132">
        <v>0.57110569536075295</v>
      </c>
      <c r="CC23" s="132">
        <v>1.1068256500000002</v>
      </c>
      <c r="CD23" s="132">
        <v>0.48865608999999999</v>
      </c>
      <c r="CE23" s="180">
        <v>1.652713382507903</v>
      </c>
      <c r="CF23" s="180">
        <v>2.0539259799999998</v>
      </c>
      <c r="CG23" s="180">
        <v>0.49536850999999998</v>
      </c>
      <c r="CH23" s="180">
        <v>0.50498812999999998</v>
      </c>
      <c r="CI23" s="180">
        <v>1.9723910399999998</v>
      </c>
      <c r="CJ23" s="84">
        <f>SUM(CJ21:CJ22)</f>
        <v>4.7593071199999999</v>
      </c>
      <c r="CK23" s="84">
        <f t="shared" ref="CK23:CS23" si="11">SUM(CK21:CK22)</f>
        <v>1.5106164900000001</v>
      </c>
      <c r="CL23" s="84">
        <f t="shared" si="11"/>
        <v>1.9777914400000001</v>
      </c>
      <c r="CM23" s="84">
        <f t="shared" si="11"/>
        <v>0.61030428000000003</v>
      </c>
      <c r="CN23" s="84">
        <f>SUM(CN21:CN22)</f>
        <v>0.75726789999999999</v>
      </c>
      <c r="CO23" s="84">
        <f>SUM(CO21:CO22)</f>
        <v>2.34392282</v>
      </c>
      <c r="CP23" s="84">
        <f>SUM(CP21:CP22)</f>
        <v>4.6607480599999995</v>
      </c>
      <c r="CQ23" s="84">
        <f>SUM(CQ21:CQ22)</f>
        <v>5.8550141696045195</v>
      </c>
      <c r="CR23" s="84">
        <f>SUM(CR21:CR22)</f>
        <v>6.5298362404812087</v>
      </c>
      <c r="CS23" s="84">
        <f t="shared" si="11"/>
        <v>9.3682545624588709</v>
      </c>
      <c r="CT23" s="79">
        <f t="shared" ref="CT23" si="12">SUM(CT21:CT22)</f>
        <v>5.7141897547479203</v>
      </c>
      <c r="CU23" s="79">
        <f>SUM(CU21:CU22)</f>
        <v>4.9276731900849091</v>
      </c>
      <c r="CV23" s="79">
        <f>SUM(CV21:CV22)</f>
        <v>4.8224875200000001</v>
      </c>
      <c r="CW23" s="79">
        <f>SUM(CW21:CW22)</f>
        <v>57.422701600000003</v>
      </c>
      <c r="CX23" s="79">
        <f>SUM(CX21:CX22)</f>
        <v>9.5079597200000006</v>
      </c>
      <c r="CY23" s="79">
        <f>SUM(CY21:CY22)</f>
        <v>14.607710724994586</v>
      </c>
      <c r="CZ23" s="79">
        <f t="shared" ref="CZ23:DB23" si="13">SUM(CZ21:CZ22)</f>
        <v>7.9999209464852576</v>
      </c>
      <c r="DA23" s="79">
        <f t="shared" si="13"/>
        <v>6.0011377819994998</v>
      </c>
      <c r="DB23" s="79">
        <f t="shared" si="13"/>
        <v>4.6229942940493993</v>
      </c>
      <c r="DC23" s="79">
        <f>SUM(DC21:DC22)</f>
        <v>14.79400432807822</v>
      </c>
      <c r="DD23" s="79">
        <f>SUM(DD21:DD22)</f>
        <v>13.411701215543333</v>
      </c>
      <c r="DE23" s="79">
        <f>SUM(DE21:DE22)</f>
        <v>21.095409810696168</v>
      </c>
      <c r="DF23" s="79">
        <f>SUM(DF21:DF22)</f>
        <v>8.6704819120287198</v>
      </c>
      <c r="DG23" s="79">
        <f>SUM(DG21:DG22)</f>
        <v>6.2568724689160478</v>
      </c>
      <c r="DH23" s="79">
        <f t="shared" ref="DH23:DO23" si="14">SUM(DH21:DH22)</f>
        <v>4.2769832276093567</v>
      </c>
      <c r="DI23" s="79">
        <f t="shared" si="14"/>
        <v>14.418912957599485</v>
      </c>
      <c r="DJ23" s="79">
        <f t="shared" si="14"/>
        <v>13.242468558799459</v>
      </c>
      <c r="DK23" s="79">
        <f t="shared" si="14"/>
        <v>21.50341172670187</v>
      </c>
      <c r="DL23" s="79">
        <f t="shared" si="14"/>
        <v>8.587291909104561</v>
      </c>
      <c r="DM23" s="79">
        <f t="shared" si="14"/>
        <v>6.0719104699999997</v>
      </c>
      <c r="DN23" s="79">
        <f t="shared" si="14"/>
        <v>3.9625412999999998</v>
      </c>
      <c r="DO23" s="79">
        <f t="shared" si="14"/>
        <v>13.8037335</v>
      </c>
      <c r="DP23" s="79">
        <f t="shared" ref="DP23:DR23" si="15">SUM(DP21:DP22)</f>
        <v>13.88125344</v>
      </c>
      <c r="DQ23" s="79">
        <f t="shared" si="15"/>
        <v>21.372368300000002</v>
      </c>
      <c r="DR23" s="79">
        <f t="shared" si="15"/>
        <v>11.1015528</v>
      </c>
      <c r="DS23" s="79">
        <f>SUM(DS21:DS22)</f>
        <v>7.4647496000000002</v>
      </c>
      <c r="FG23" s="18"/>
    </row>
    <row r="24" spans="1:163">
      <c r="A24" s="17"/>
      <c r="B24" s="25"/>
      <c r="C24" s="19"/>
      <c r="AL24" s="46"/>
      <c r="AX24" s="46"/>
      <c r="AY24" s="46"/>
      <c r="AZ24" s="46"/>
      <c r="BE24" s="60"/>
      <c r="BG24" s="60"/>
      <c r="BH24" s="107"/>
      <c r="BI24" s="107"/>
      <c r="BJ24" s="107"/>
      <c r="BK24" s="107"/>
      <c r="FG24" s="18"/>
    </row>
    <row r="25" spans="1:163">
      <c r="A25" s="17"/>
      <c r="B25" s="23"/>
      <c r="C25" s="19"/>
      <c r="AL25" s="51"/>
      <c r="AM25" s="51"/>
      <c r="AN25" s="51"/>
      <c r="AO25" s="51"/>
      <c r="AP25" s="51"/>
      <c r="AQ25" s="51"/>
      <c r="AR25" s="51"/>
      <c r="AS25" s="51"/>
      <c r="AT25" s="51"/>
      <c r="AU25" s="64"/>
      <c r="AX25" s="46"/>
      <c r="AY25" s="46"/>
      <c r="AZ25" s="46"/>
      <c r="BZ25" s="176"/>
      <c r="FG25" s="18"/>
    </row>
    <row r="26" spans="1:163">
      <c r="A26" s="17"/>
      <c r="B26" s="23"/>
      <c r="C26" s="19"/>
      <c r="AL26" s="51"/>
      <c r="AM26" s="51"/>
      <c r="AN26" s="51"/>
      <c r="AO26" s="51"/>
      <c r="AP26" s="51"/>
      <c r="AQ26" s="51"/>
      <c r="AR26" s="51"/>
      <c r="AS26" s="51"/>
      <c r="AT26" s="51"/>
      <c r="AU26" s="64"/>
      <c r="AX26" s="46"/>
      <c r="AY26" s="46"/>
      <c r="AZ26" s="46"/>
      <c r="BE26" s="139"/>
      <c r="BF26" s="137"/>
      <c r="BZ26" s="174"/>
      <c r="FG26" s="18"/>
    </row>
    <row r="27" spans="1:163">
      <c r="A27" s="17"/>
      <c r="B27" s="23"/>
      <c r="C27" s="19"/>
      <c r="AL27" s="78"/>
      <c r="AX27" s="74"/>
      <c r="AY27" s="46"/>
      <c r="AZ27" s="46"/>
      <c r="BE27" s="139"/>
      <c r="BF27" s="136"/>
      <c r="BZ27" s="174"/>
      <c r="FG27" s="18"/>
    </row>
    <row r="28" spans="1:163">
      <c r="A28" s="17"/>
      <c r="B28" s="23"/>
      <c r="C28" s="19"/>
      <c r="AK28" s="46"/>
      <c r="BE28" s="132"/>
      <c r="BF28" s="138"/>
      <c r="BZ28" s="174"/>
      <c r="FG28" s="18"/>
    </row>
    <row r="29" spans="1:163">
      <c r="A29" s="17"/>
      <c r="B29" s="23"/>
      <c r="C29" s="19"/>
      <c r="BZ29" s="174"/>
      <c r="FG29" s="18"/>
    </row>
    <row r="30" spans="1:163">
      <c r="A30" s="17"/>
      <c r="B30" s="23"/>
      <c r="C30" s="19"/>
      <c r="FG30" s="18"/>
    </row>
    <row r="31" spans="1:163">
      <c r="A31" s="17"/>
      <c r="B31" s="24"/>
      <c r="C31" s="19"/>
      <c r="FG31" s="18"/>
    </row>
    <row r="32" spans="1:163">
      <c r="A32" s="17"/>
      <c r="B32" s="23"/>
      <c r="C32" s="19"/>
      <c r="FG32" s="18"/>
    </row>
    <row r="33" spans="1:163">
      <c r="A33" s="17"/>
      <c r="B33" s="24"/>
      <c r="C33" s="19"/>
      <c r="FG33" s="18"/>
    </row>
  </sheetData>
  <conditionalFormatting sqref="C24:C33">
    <cfRule type="duplicateValues" dxfId="1" priority="2"/>
  </conditionalFormatting>
  <conditionalFormatting sqref="C13:C23">
    <cfRule type="duplicateValues" dxfId="0" priority="1"/>
  </conditionalFormatting>
  <dataValidations count="2">
    <dataValidation type="list" allowBlank="1" showInputMessage="1" showErrorMessage="1" sqref="B7">
      <formula1>#REF!</formula1>
    </dataValidation>
    <dataValidation type="list" allowBlank="1" showErrorMessage="1" prompt="_x000a_" sqref="B6">
      <formula1>#REF!</formula1>
    </dataValidation>
  </dataValidations>
  <pageMargins left="0.7" right="0.7" top="0.75" bottom="0.75" header="0.3" footer="0.3"/>
  <pageSetup paperSize="9" scale="1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Central_Government_Debt_Q</vt:lpstr>
      <vt:lpstr>Central_Government_Debt_M</vt:lpstr>
      <vt:lpstr>General_Government_Ext_Debt_M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Zarah Tehila. Ithiel</cp:lastModifiedBy>
  <cp:lastPrinted>2022-04-28T00:26:04Z</cp:lastPrinted>
  <dcterms:created xsi:type="dcterms:W3CDTF">2016-03-10T14:57:36Z</dcterms:created>
  <dcterms:modified xsi:type="dcterms:W3CDTF">2025-03-13T22:03:03Z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